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15600" windowHeight="5460" tabRatio="455" firstSheet="3" activeTab="1"/>
  </bookViews>
  <sheets>
    <sheet name="PTMO FRANCES" sheetId="30" r:id="rId1"/>
    <sheet name="CUENTA DE RESULTADOS boliv" sheetId="20" r:id="rId2"/>
    <sheet name="CUADRO DE NECESID FINAN boliv" sheetId="27" r:id="rId3"/>
    <sheet name="RENTABILIDAD boliv" sheetId="29" r:id="rId4"/>
    <sheet name="conclusiones" sheetId="31" r:id="rId5"/>
  </sheets>
  <definedNames>
    <definedName name="_xlnm.Print_Area" localSheetId="4">conclusiones!$A$4:$K$10</definedName>
    <definedName name="_xlnm.Print_Area" localSheetId="2">'CUADRO DE NECESID FINAN boliv'!$A$1:$O$30</definedName>
    <definedName name="_xlnm.Print_Area" localSheetId="1">'CUENTA DE RESULTADOS boliv'!$A$4:$M$79</definedName>
    <definedName name="_xlnm.Print_Area" localSheetId="0">'PTMO FRANCES'!$B$3:$G$25</definedName>
    <definedName name="_xlnm.Print_Area" localSheetId="3">'RENTABILIDAD boliv'!$B$3:$N$67</definedName>
  </definedNames>
  <calcPr calcId="145621"/>
</workbook>
</file>

<file path=xl/calcChain.xml><?xml version="1.0" encoding="utf-8"?>
<calcChain xmlns="http://schemas.openxmlformats.org/spreadsheetml/2006/main">
  <c r="K63" i="20" l="1"/>
  <c r="L63" i="20"/>
  <c r="M22" i="20"/>
  <c r="L22" i="20"/>
  <c r="K22" i="20"/>
  <c r="J22" i="20"/>
  <c r="I22" i="20"/>
  <c r="H22" i="20"/>
  <c r="G22" i="20"/>
  <c r="F22" i="20"/>
  <c r="E22" i="20"/>
  <c r="D22" i="20"/>
  <c r="L64" i="29"/>
  <c r="C50" i="29"/>
  <c r="D67" i="29" l="1"/>
  <c r="D66" i="29"/>
  <c r="D65" i="29"/>
  <c r="D63" i="29"/>
  <c r="D57" i="29"/>
  <c r="D51" i="29"/>
  <c r="D50" i="29"/>
  <c r="D48" i="29"/>
  <c r="D35" i="29"/>
  <c r="D34" i="29"/>
  <c r="D33" i="29"/>
  <c r="D31" i="29"/>
  <c r="D41" i="29" s="1"/>
  <c r="D17" i="29"/>
  <c r="D16" i="29"/>
  <c r="D12" i="29"/>
  <c r="D6" i="29"/>
  <c r="D10" i="29" s="1"/>
  <c r="D14" i="29" s="1"/>
  <c r="D20" i="29" s="1"/>
  <c r="D24" i="29" s="1"/>
  <c r="L11" i="27"/>
  <c r="E11" i="27"/>
  <c r="D11" i="27"/>
  <c r="G59" i="20"/>
  <c r="F59" i="20"/>
  <c r="D59" i="20"/>
  <c r="C59" i="20"/>
  <c r="C68" i="20" s="1"/>
  <c r="G15" i="30"/>
  <c r="E15" i="30"/>
  <c r="F15" i="30" s="1"/>
  <c r="D9" i="27"/>
  <c r="D19" i="27" l="1"/>
  <c r="E34" i="29"/>
  <c r="M23" i="20" l="1"/>
  <c r="L23" i="20"/>
  <c r="K23" i="20"/>
  <c r="J23" i="20"/>
  <c r="I23" i="20"/>
  <c r="H23" i="20"/>
  <c r="G23" i="20"/>
  <c r="F23" i="20"/>
  <c r="E23" i="20"/>
  <c r="D23" i="20"/>
  <c r="E35" i="29" l="1"/>
  <c r="E50" i="29" s="1"/>
  <c r="F35" i="29"/>
  <c r="F50" i="29" s="1"/>
  <c r="G35" i="29"/>
  <c r="G50" i="29" s="1"/>
  <c r="H35" i="29"/>
  <c r="H50" i="29" s="1"/>
  <c r="I35" i="29"/>
  <c r="I50" i="29" s="1"/>
  <c r="J35" i="29"/>
  <c r="J50" i="29" s="1"/>
  <c r="K35" i="29"/>
  <c r="K50" i="29" s="1"/>
  <c r="L35" i="29"/>
  <c r="L50" i="29" s="1"/>
  <c r="M35" i="29"/>
  <c r="M50" i="29" s="1"/>
  <c r="N35" i="29"/>
  <c r="N50" i="29" s="1"/>
  <c r="C34" i="29"/>
  <c r="C51" i="29" s="1"/>
  <c r="E17" i="29" l="1"/>
  <c r="F17" i="29"/>
  <c r="G17" i="29"/>
  <c r="H17" i="29"/>
  <c r="I17" i="29"/>
  <c r="J17" i="29"/>
  <c r="K17" i="29"/>
  <c r="L17" i="29"/>
  <c r="M17" i="29"/>
  <c r="N17" i="29"/>
  <c r="C17" i="29"/>
  <c r="E16" i="29"/>
  <c r="F16" i="29"/>
  <c r="G16" i="29"/>
  <c r="H16" i="29"/>
  <c r="I16" i="29"/>
  <c r="J16" i="29"/>
  <c r="K16" i="29"/>
  <c r="L16" i="29"/>
  <c r="M16" i="29"/>
  <c r="N16" i="29"/>
  <c r="C16" i="29"/>
  <c r="C12" i="29"/>
  <c r="G14" i="30"/>
  <c r="E14" i="30" l="1"/>
  <c r="E33" i="29" s="1"/>
  <c r="E48" i="29" s="1"/>
  <c r="F7" i="30"/>
  <c r="F6" i="30"/>
  <c r="E25" i="30" l="1"/>
  <c r="D25" i="30"/>
  <c r="F14" i="30"/>
  <c r="D16" i="30"/>
  <c r="F15" i="27" s="1"/>
  <c r="F34" i="29" s="1"/>
  <c r="F51" i="29" s="1"/>
  <c r="D18" i="30"/>
  <c r="H15" i="27" s="1"/>
  <c r="H34" i="29" s="1"/>
  <c r="H51" i="29" s="1"/>
  <c r="D20" i="30"/>
  <c r="J15" i="27" s="1"/>
  <c r="J34" i="29" s="1"/>
  <c r="J51" i="29" s="1"/>
  <c r="D22" i="30"/>
  <c r="L15" i="27" s="1"/>
  <c r="L34" i="29" s="1"/>
  <c r="L51" i="29" s="1"/>
  <c r="D23" i="30"/>
  <c r="M15" i="27" s="1"/>
  <c r="M34" i="29" s="1"/>
  <c r="M51" i="29" s="1"/>
  <c r="E16" i="30"/>
  <c r="E17" i="30"/>
  <c r="G11" i="27" s="1"/>
  <c r="G33" i="29" s="1"/>
  <c r="G48" i="29" s="1"/>
  <c r="E18" i="30"/>
  <c r="E19" i="30"/>
  <c r="E20" i="30"/>
  <c r="E21" i="30"/>
  <c r="E22" i="30"/>
  <c r="E23" i="30"/>
  <c r="E24" i="30"/>
  <c r="D17" i="30"/>
  <c r="G15" i="27" s="1"/>
  <c r="G34" i="29" s="1"/>
  <c r="G51" i="29" s="1"/>
  <c r="D19" i="30"/>
  <c r="I15" i="27" s="1"/>
  <c r="I34" i="29" s="1"/>
  <c r="I51" i="29" s="1"/>
  <c r="D21" i="30"/>
  <c r="K15" i="27" s="1"/>
  <c r="K34" i="29" s="1"/>
  <c r="K51" i="29" s="1"/>
  <c r="D24" i="30"/>
  <c r="N15" i="27" s="1"/>
  <c r="N34" i="29" s="1"/>
  <c r="N51" i="29" s="1"/>
  <c r="M59" i="20" l="1"/>
  <c r="M68" i="20" s="1"/>
  <c r="N48" i="29"/>
  <c r="N11" i="27"/>
  <c r="N33" i="29" s="1"/>
  <c r="I59" i="20"/>
  <c r="I68" i="20" s="1"/>
  <c r="J11" i="27"/>
  <c r="J33" i="29" s="1"/>
  <c r="J48" i="29" s="1"/>
  <c r="E59" i="20"/>
  <c r="E68" i="20" s="1"/>
  <c r="F11" i="27"/>
  <c r="F33" i="29" s="1"/>
  <c r="F48" i="29" s="1"/>
  <c r="F25" i="30"/>
  <c r="K59" i="20"/>
  <c r="K68" i="20" s="1"/>
  <c r="L48" i="29"/>
  <c r="L33" i="29"/>
  <c r="G68" i="20"/>
  <c r="H11" i="27"/>
  <c r="H33" i="29" s="1"/>
  <c r="H48" i="29" s="1"/>
  <c r="J59" i="20"/>
  <c r="J68" i="20" s="1"/>
  <c r="K11" i="27"/>
  <c r="K33" i="29" s="1"/>
  <c r="K48" i="29" s="1"/>
  <c r="L59" i="20"/>
  <c r="L68" i="20" s="1"/>
  <c r="M11" i="27"/>
  <c r="M33" i="29" s="1"/>
  <c r="M48" i="29"/>
  <c r="M64" i="29" s="1"/>
  <c r="H59" i="20"/>
  <c r="H68" i="20" s="1"/>
  <c r="I11" i="27"/>
  <c r="I33" i="29" s="1"/>
  <c r="I48" i="29" s="1"/>
  <c r="I57" i="29" s="1"/>
  <c r="I66" i="29" s="1"/>
  <c r="D68" i="20"/>
  <c r="C61" i="20"/>
  <c r="C65" i="20" s="1"/>
  <c r="C70" i="20" s="1"/>
  <c r="E51" i="29"/>
  <c r="F24" i="30"/>
  <c r="F68" i="20"/>
  <c r="C57" i="29"/>
  <c r="C58" i="29" s="1"/>
  <c r="F17" i="30"/>
  <c r="F21" i="30"/>
  <c r="F18" i="30"/>
  <c r="F19" i="30"/>
  <c r="F23" i="30"/>
  <c r="F16" i="30"/>
  <c r="E9" i="30" s="1"/>
  <c r="F20" i="30"/>
  <c r="F22" i="30"/>
  <c r="G16" i="30"/>
  <c r="G17" i="30" s="1"/>
  <c r="G18" i="30" s="1"/>
  <c r="G19" i="30" s="1"/>
  <c r="G20" i="30" s="1"/>
  <c r="G21" i="30" s="1"/>
  <c r="G22" i="30" s="1"/>
  <c r="G23" i="30" s="1"/>
  <c r="G24" i="30" s="1"/>
  <c r="G25" i="30" l="1"/>
  <c r="N55" i="29"/>
  <c r="H57" i="29"/>
  <c r="J57" i="29"/>
  <c r="J66" i="29" s="1"/>
  <c r="M57" i="29"/>
  <c r="M66" i="29" s="1"/>
  <c r="N39" i="29"/>
  <c r="C6" i="29"/>
  <c r="C10" i="29" s="1"/>
  <c r="C14" i="29" s="1"/>
  <c r="C20" i="29" s="1"/>
  <c r="F57" i="29"/>
  <c r="E57" i="29"/>
  <c r="G57" i="29"/>
  <c r="N64" i="29"/>
  <c r="K57" i="29"/>
  <c r="L57" i="29"/>
  <c r="L54" i="20"/>
  <c r="M54" i="20"/>
  <c r="L55" i="20"/>
  <c r="M55" i="20"/>
  <c r="M50" i="20"/>
  <c r="M26" i="20"/>
  <c r="B78" i="20" l="1"/>
  <c r="C9" i="27" s="1"/>
  <c r="C19" i="27" s="1"/>
  <c r="C24" i="27" s="1"/>
  <c r="D23" i="27" s="1"/>
  <c r="D24" i="27" s="1"/>
  <c r="N57" i="29"/>
  <c r="N66" i="29" s="1"/>
  <c r="C24" i="29"/>
  <c r="C31" i="29"/>
  <c r="C41" i="29" s="1"/>
  <c r="M67" i="20"/>
  <c r="L67" i="20"/>
  <c r="M18" i="20"/>
  <c r="M29" i="20"/>
  <c r="E47" i="20"/>
  <c r="F47" i="20" s="1"/>
  <c r="G47" i="20" s="1"/>
  <c r="H47" i="20" s="1"/>
  <c r="I47" i="20" s="1"/>
  <c r="J47" i="20" s="1"/>
  <c r="K47" i="20" s="1"/>
  <c r="L47" i="20" s="1"/>
  <c r="N12" i="29" l="1"/>
  <c r="M12" i="29"/>
  <c r="E23" i="27"/>
  <c r="M31" i="20"/>
  <c r="L26" i="20"/>
  <c r="K26" i="20"/>
  <c r="J26" i="20"/>
  <c r="L29" i="20" l="1"/>
  <c r="M52" i="20"/>
  <c r="L18" i="20" l="1"/>
  <c r="M57" i="20"/>
  <c r="N6" i="29" l="1"/>
  <c r="N8" i="29" s="1"/>
  <c r="N10" i="29" s="1"/>
  <c r="N14" i="29" s="1"/>
  <c r="N20" i="29" s="1"/>
  <c r="M61" i="20"/>
  <c r="M63" i="20"/>
  <c r="L31" i="20"/>
  <c r="N31" i="29" l="1"/>
  <c r="N41" i="29" s="1"/>
  <c r="N65" i="29" s="1"/>
  <c r="N24" i="29"/>
  <c r="N63" i="29" s="1"/>
  <c r="M65" i="20"/>
  <c r="C65" i="29"/>
  <c r="C63" i="29"/>
  <c r="C66" i="29"/>
  <c r="N67" i="29" l="1"/>
  <c r="L66" i="29"/>
  <c r="M70" i="20"/>
  <c r="M78" i="20" s="1"/>
  <c r="F66" i="29"/>
  <c r="E66" i="29"/>
  <c r="K66" i="29"/>
  <c r="H66" i="29"/>
  <c r="G66" i="29"/>
  <c r="C67" i="29"/>
  <c r="N9" i="27" l="1"/>
  <c r="N19" i="27" l="1"/>
  <c r="F18" i="20"/>
  <c r="G18" i="20"/>
  <c r="H18" i="20"/>
  <c r="I18" i="20"/>
  <c r="J18" i="20"/>
  <c r="K18" i="20"/>
  <c r="D18" i="20"/>
  <c r="E18" i="20"/>
  <c r="E45" i="20" l="1"/>
  <c r="F45" i="20" s="1"/>
  <c r="E44" i="20"/>
  <c r="F44" i="20" s="1"/>
  <c r="E43" i="20"/>
  <c r="F43" i="20" s="1"/>
  <c r="E42" i="20"/>
  <c r="F42" i="20" s="1"/>
  <c r="E35" i="20"/>
  <c r="E37" i="20"/>
  <c r="F37" i="20" s="1"/>
  <c r="E41" i="20"/>
  <c r="F41" i="20" s="1"/>
  <c r="E39" i="20"/>
  <c r="F39" i="20" s="1"/>
  <c r="I26" i="20"/>
  <c r="H26" i="20"/>
  <c r="G26" i="20"/>
  <c r="F26" i="20"/>
  <c r="E26" i="20"/>
  <c r="D26" i="20"/>
  <c r="G37" i="20" l="1"/>
  <c r="H37" i="20" s="1"/>
  <c r="I37" i="20" s="1"/>
  <c r="J37" i="20" s="1"/>
  <c r="K37" i="20" s="1"/>
  <c r="G45" i="20"/>
  <c r="H45" i="20" s="1"/>
  <c r="I45" i="20" s="1"/>
  <c r="J45" i="20" s="1"/>
  <c r="K45" i="20" s="1"/>
  <c r="L45" i="20" s="1"/>
  <c r="L37" i="20" l="1"/>
  <c r="E48" i="20"/>
  <c r="F48" i="20" s="1"/>
  <c r="G48" i="20" s="1"/>
  <c r="H48" i="20" s="1"/>
  <c r="I48" i="20" s="1"/>
  <c r="J48" i="20" s="1"/>
  <c r="K48" i="20" s="1"/>
  <c r="L48" i="20" s="1"/>
  <c r="E36" i="20"/>
  <c r="F36" i="20" s="1"/>
  <c r="G36" i="20" s="1"/>
  <c r="H36" i="20" s="1"/>
  <c r="I36" i="20" s="1"/>
  <c r="J36" i="20" s="1"/>
  <c r="K36" i="20" s="1"/>
  <c r="L36" i="20" s="1"/>
  <c r="E38" i="20"/>
  <c r="F38" i="20" s="1"/>
  <c r="G38" i="20" s="1"/>
  <c r="H38" i="20" s="1"/>
  <c r="I38" i="20" s="1"/>
  <c r="J38" i="20" s="1"/>
  <c r="K38" i="20" s="1"/>
  <c r="L38" i="20" s="1"/>
  <c r="G39" i="20"/>
  <c r="H39" i="20" s="1"/>
  <c r="I39" i="20" s="1"/>
  <c r="J39" i="20" s="1"/>
  <c r="K39" i="20" s="1"/>
  <c r="L39" i="20" s="1"/>
  <c r="E40" i="20"/>
  <c r="F40" i="20" s="1"/>
  <c r="G40" i="20" s="1"/>
  <c r="H40" i="20" s="1"/>
  <c r="I40" i="20" s="1"/>
  <c r="J40" i="20" s="1"/>
  <c r="K40" i="20" s="1"/>
  <c r="L40" i="20" s="1"/>
  <c r="G41" i="20"/>
  <c r="H41" i="20" s="1"/>
  <c r="I41" i="20" s="1"/>
  <c r="J41" i="20" s="1"/>
  <c r="K41" i="20" s="1"/>
  <c r="L41" i="20" s="1"/>
  <c r="G42" i="20"/>
  <c r="H42" i="20" s="1"/>
  <c r="I42" i="20" s="1"/>
  <c r="J42" i="20" s="1"/>
  <c r="K42" i="20" s="1"/>
  <c r="L42" i="20" s="1"/>
  <c r="G43" i="20"/>
  <c r="H43" i="20" s="1"/>
  <c r="I43" i="20" s="1"/>
  <c r="J43" i="20" s="1"/>
  <c r="K43" i="20" s="1"/>
  <c r="L43" i="20" s="1"/>
  <c r="G44" i="20"/>
  <c r="H44" i="20" s="1"/>
  <c r="I44" i="20" s="1"/>
  <c r="J44" i="20" s="1"/>
  <c r="K44" i="20" s="1"/>
  <c r="L44" i="20" s="1"/>
  <c r="F35" i="20"/>
  <c r="G35" i="20" s="1"/>
  <c r="H35" i="20" s="1"/>
  <c r="I35" i="20" s="1"/>
  <c r="J35" i="20" s="1"/>
  <c r="K35" i="20" s="1"/>
  <c r="L35" i="20" s="1"/>
  <c r="L50" i="20" l="1"/>
  <c r="E50" i="20"/>
  <c r="F50" i="20"/>
  <c r="G50" i="20"/>
  <c r="H50" i="20"/>
  <c r="I50" i="20"/>
  <c r="J50" i="20"/>
  <c r="K50" i="20"/>
  <c r="D50" i="20"/>
  <c r="L52" i="20" l="1"/>
  <c r="L57" i="20" l="1"/>
  <c r="E55" i="20"/>
  <c r="F55" i="20"/>
  <c r="G55" i="20"/>
  <c r="H55" i="20"/>
  <c r="I55" i="20"/>
  <c r="J55" i="20"/>
  <c r="K55" i="20"/>
  <c r="D55" i="20"/>
  <c r="E54" i="20"/>
  <c r="F54" i="20"/>
  <c r="G54" i="20"/>
  <c r="H54" i="20"/>
  <c r="I54" i="20"/>
  <c r="J54" i="20"/>
  <c r="K54" i="20"/>
  <c r="D54" i="20"/>
  <c r="M6" i="29" l="1"/>
  <c r="L61" i="20"/>
  <c r="H67" i="20"/>
  <c r="K67" i="20"/>
  <c r="J67" i="20"/>
  <c r="F67" i="20"/>
  <c r="D67" i="20"/>
  <c r="G67" i="20"/>
  <c r="I67" i="20"/>
  <c r="E67" i="20"/>
  <c r="M8" i="29" l="1"/>
  <c r="M10" i="29" s="1"/>
  <c r="M14" i="29" s="1"/>
  <c r="M20" i="29" s="1"/>
  <c r="M31" i="29" s="1"/>
  <c r="M41" i="29" s="1"/>
  <c r="M65" i="29" s="1"/>
  <c r="L65" i="20"/>
  <c r="F12" i="29"/>
  <c r="H12" i="29"/>
  <c r="G12" i="29"/>
  <c r="L12" i="29"/>
  <c r="J12" i="29"/>
  <c r="E12" i="29"/>
  <c r="K12" i="29"/>
  <c r="I12" i="29"/>
  <c r="M24" i="29" l="1"/>
  <c r="M63" i="29" s="1"/>
  <c r="M67" i="29" s="1"/>
  <c r="L70" i="20"/>
  <c r="L78" i="20" s="1"/>
  <c r="M9" i="27" l="1"/>
  <c r="D29" i="20"/>
  <c r="K29" i="20"/>
  <c r="H29" i="20"/>
  <c r="M19" i="27" l="1"/>
  <c r="D31" i="20"/>
  <c r="D52" i="20" s="1"/>
  <c r="H31" i="20"/>
  <c r="K31" i="20"/>
  <c r="E29" i="20"/>
  <c r="J29" i="20"/>
  <c r="F29" i="20"/>
  <c r="I29" i="20"/>
  <c r="G29" i="20"/>
  <c r="H52" i="20" l="1"/>
  <c r="K52" i="20"/>
  <c r="D57" i="20"/>
  <c r="E6" i="29" s="1"/>
  <c r="E10" i="29" s="1"/>
  <c r="E14" i="29" s="1"/>
  <c r="E20" i="29" s="1"/>
  <c r="I31" i="20"/>
  <c r="F31" i="20"/>
  <c r="G31" i="20"/>
  <c r="E31" i="20"/>
  <c r="J31" i="20"/>
  <c r="E31" i="29" l="1"/>
  <c r="E41" i="29" s="1"/>
  <c r="E24" i="29"/>
  <c r="D61" i="20"/>
  <c r="J52" i="20"/>
  <c r="G52" i="20"/>
  <c r="I52" i="20"/>
  <c r="K57" i="20"/>
  <c r="L6" i="29" s="1"/>
  <c r="E52" i="20"/>
  <c r="F52" i="20"/>
  <c r="H57" i="20"/>
  <c r="I6" i="29" s="1"/>
  <c r="I10" i="29" s="1"/>
  <c r="I14" i="29" s="1"/>
  <c r="I20" i="29" s="1"/>
  <c r="L8" i="29" l="1"/>
  <c r="L10" i="29" s="1"/>
  <c r="L14" i="29" s="1"/>
  <c r="L20" i="29" s="1"/>
  <c r="E65" i="29"/>
  <c r="E63" i="29"/>
  <c r="I31" i="29"/>
  <c r="I41" i="29" s="1"/>
  <c r="I65" i="29" s="1"/>
  <c r="I24" i="29"/>
  <c r="I63" i="29" s="1"/>
  <c r="K61" i="20"/>
  <c r="D65" i="20"/>
  <c r="H61" i="20"/>
  <c r="F57" i="20"/>
  <c r="G6" i="29" s="1"/>
  <c r="G10" i="29" s="1"/>
  <c r="G14" i="29" s="1"/>
  <c r="G20" i="29" s="1"/>
  <c r="G57" i="20"/>
  <c r="H6" i="29" s="1"/>
  <c r="H10" i="29" s="1"/>
  <c r="H14" i="29" s="1"/>
  <c r="H20" i="29" s="1"/>
  <c r="E57" i="20"/>
  <c r="F6" i="29" s="1"/>
  <c r="F10" i="29" s="1"/>
  <c r="F14" i="29" s="1"/>
  <c r="F20" i="29" s="1"/>
  <c r="I57" i="20"/>
  <c r="J6" i="29" s="1"/>
  <c r="J10" i="29" s="1"/>
  <c r="J14" i="29" s="1"/>
  <c r="J20" i="29" s="1"/>
  <c r="J57" i="20"/>
  <c r="K6" i="29" s="1"/>
  <c r="K10" i="29" s="1"/>
  <c r="K14" i="29" s="1"/>
  <c r="K20" i="29" s="1"/>
  <c r="L24" i="29" l="1"/>
  <c r="L63" i="29" s="1"/>
  <c r="L31" i="29"/>
  <c r="L41" i="29" s="1"/>
  <c r="L65" i="29" s="1"/>
  <c r="L67" i="29" s="1"/>
  <c r="E67" i="29"/>
  <c r="I67" i="29"/>
  <c r="J31" i="29"/>
  <c r="J41" i="29" s="1"/>
  <c r="J65" i="29" s="1"/>
  <c r="J24" i="29"/>
  <c r="J63" i="29" s="1"/>
  <c r="H24" i="29"/>
  <c r="H63" i="29" s="1"/>
  <c r="H31" i="29"/>
  <c r="H41" i="29" s="1"/>
  <c r="H65" i="29" s="1"/>
  <c r="K31" i="29"/>
  <c r="K41" i="29" s="1"/>
  <c r="K65" i="29" s="1"/>
  <c r="K24" i="29"/>
  <c r="K63" i="29" s="1"/>
  <c r="F31" i="29"/>
  <c r="F41" i="29" s="1"/>
  <c r="F24" i="29"/>
  <c r="G24" i="29"/>
  <c r="G63" i="29" s="1"/>
  <c r="G31" i="29"/>
  <c r="G41" i="29" s="1"/>
  <c r="G65" i="29" s="1"/>
  <c r="E61" i="20"/>
  <c r="F61" i="20"/>
  <c r="H65" i="20"/>
  <c r="K65" i="20"/>
  <c r="I61" i="20"/>
  <c r="G61" i="20"/>
  <c r="D70" i="20"/>
  <c r="D78" i="20" s="1"/>
  <c r="J61" i="20"/>
  <c r="C42" i="29" l="1"/>
  <c r="G67" i="29"/>
  <c r="K67" i="29"/>
  <c r="F65" i="29"/>
  <c r="H67" i="29"/>
  <c r="J67" i="29"/>
  <c r="F63" i="29"/>
  <c r="C26" i="29"/>
  <c r="J65" i="20"/>
  <c r="G65" i="20"/>
  <c r="F65" i="20"/>
  <c r="K70" i="20"/>
  <c r="K78" i="20" s="1"/>
  <c r="I65" i="20"/>
  <c r="E65" i="20"/>
  <c r="E9" i="27"/>
  <c r="H70" i="20"/>
  <c r="H78" i="20" s="1"/>
  <c r="F67" i="29" l="1"/>
  <c r="E19" i="27"/>
  <c r="I70" i="20"/>
  <c r="I78" i="20" s="1"/>
  <c r="F70" i="20"/>
  <c r="F78" i="20" s="1"/>
  <c r="I9" i="27"/>
  <c r="E70" i="20"/>
  <c r="E78" i="20" s="1"/>
  <c r="L9" i="27"/>
  <c r="G70" i="20"/>
  <c r="G78" i="20" s="1"/>
  <c r="J70" i="20"/>
  <c r="J78" i="20" s="1"/>
  <c r="E24" i="27" l="1"/>
  <c r="L19" i="27"/>
  <c r="I19" i="27"/>
  <c r="K9" i="27"/>
  <c r="J9" i="27"/>
  <c r="H9" i="27"/>
  <c r="F9" i="27"/>
  <c r="G9" i="27"/>
  <c r="F19" i="27" l="1"/>
  <c r="J19" i="27"/>
  <c r="F23" i="27"/>
  <c r="G19" i="27"/>
  <c r="H19" i="27"/>
  <c r="K19" i="27"/>
  <c r="F24" i="27" l="1"/>
  <c r="G23" i="27" l="1"/>
  <c r="G24" i="27" l="1"/>
  <c r="H23" i="27" l="1"/>
  <c r="H24" i="27" l="1"/>
  <c r="I23" i="27" l="1"/>
  <c r="I24" i="27" l="1"/>
  <c r="J23" i="27" l="1"/>
  <c r="J24" i="27" l="1"/>
  <c r="K23" i="27" l="1"/>
  <c r="K24" i="27" l="1"/>
  <c r="L23" i="27" l="1"/>
  <c r="L24" i="27" l="1"/>
  <c r="M23" i="27" l="1"/>
  <c r="M24" i="27" l="1"/>
  <c r="N23" i="27" l="1"/>
  <c r="N24" i="27" l="1"/>
</calcChain>
</file>

<file path=xl/comments1.xml><?xml version="1.0" encoding="utf-8"?>
<comments xmlns="http://schemas.openxmlformats.org/spreadsheetml/2006/main">
  <authors>
    <author>Juan Ramon Molinero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Juan Ramon Molinero:</t>
        </r>
        <r>
          <rPr>
            <sz val="9"/>
            <color indexed="81"/>
            <rFont val="Tahoma"/>
            <charset val="1"/>
          </rPr>
          <t xml:space="preserve">
precios 900, 3000 y 6200</t>
        </r>
      </text>
    </comment>
    <comment ref="H14" authorId="0">
      <text>
        <r>
          <rPr>
            <b/>
            <sz val="9"/>
            <color indexed="81"/>
            <rFont val="Tahoma"/>
            <charset val="1"/>
          </rPr>
          <t>Juan Ramon Molinero:</t>
        </r>
        <r>
          <rPr>
            <sz val="9"/>
            <color indexed="81"/>
            <rFont val="Tahoma"/>
            <charset val="1"/>
          </rPr>
          <t xml:space="preserve">
6240 precio</t>
        </r>
      </text>
    </comment>
    <comment ref="K14" authorId="0">
      <text>
        <r>
          <rPr>
            <b/>
            <sz val="9"/>
            <color indexed="81"/>
            <rFont val="Tahoma"/>
            <charset val="1"/>
          </rPr>
          <t>Juan Ramon Molinero:</t>
        </r>
        <r>
          <rPr>
            <sz val="9"/>
            <color indexed="81"/>
            <rFont val="Tahoma"/>
            <charset val="1"/>
          </rPr>
          <t xml:space="preserve">
precio 6240 y 21996</t>
        </r>
      </text>
    </comment>
    <comment ref="L14" authorId="0">
      <text>
        <r>
          <rPr>
            <b/>
            <sz val="9"/>
            <color indexed="81"/>
            <rFont val="Tahoma"/>
            <charset val="1"/>
          </rPr>
          <t>Juan Ramon Molinero:</t>
        </r>
        <r>
          <rPr>
            <sz val="9"/>
            <color indexed="81"/>
            <rFont val="Tahoma"/>
            <charset val="1"/>
          </rPr>
          <t xml:space="preserve">
maestria precio 45000</t>
        </r>
      </text>
    </comment>
    <comment ref="D46" authorId="0">
      <text>
        <r>
          <rPr>
            <b/>
            <sz val="9"/>
            <color indexed="81"/>
            <rFont val="Tahoma"/>
            <charset val="1"/>
          </rPr>
          <t>Juan Ramon Molinero:</t>
        </r>
        <r>
          <rPr>
            <sz val="9"/>
            <color indexed="81"/>
            <rFont val="Tahoma"/>
            <charset val="1"/>
          </rPr>
          <t xml:space="preserve">
en el año 0 habría unos 600.000 bolivianos adicionales de gastos lanzamiento peersonal estructura</t>
        </r>
      </text>
    </comment>
  </commentList>
</comments>
</file>

<file path=xl/sharedStrings.xml><?xml version="1.0" encoding="utf-8"?>
<sst xmlns="http://schemas.openxmlformats.org/spreadsheetml/2006/main" count="190" uniqueCount="125">
  <si>
    <t>AÑO 1</t>
  </si>
  <si>
    <t>AÑO 2</t>
  </si>
  <si>
    <t>AÑO 3</t>
  </si>
  <si>
    <t>AÑO 4</t>
  </si>
  <si>
    <t>AÑO 5</t>
  </si>
  <si>
    <t>AÑO 6</t>
  </si>
  <si>
    <t>AÑO 7</t>
  </si>
  <si>
    <t>AÑO 8</t>
  </si>
  <si>
    <t>INGRESOS</t>
  </si>
  <si>
    <t>GASTOS PROPORCIONALES</t>
  </si>
  <si>
    <t>MARGEN BRUTO ACTIVIDAD</t>
  </si>
  <si>
    <t>EBITDA</t>
  </si>
  <si>
    <t>EBIT</t>
  </si>
  <si>
    <t>EBT</t>
  </si>
  <si>
    <t>BENEFICIO NETO</t>
  </si>
  <si>
    <t>FLUJO DE CAJA LIBRE</t>
  </si>
  <si>
    <t>Ingresos formación continua</t>
  </si>
  <si>
    <t>total ingresos</t>
  </si>
  <si>
    <t>ingresos eventos y alquiler espacios</t>
  </si>
  <si>
    <t>Ingresos masters</t>
  </si>
  <si>
    <t>total gastos proporcionales</t>
  </si>
  <si>
    <t>total gastos fijos</t>
  </si>
  <si>
    <t>Ingresos por la formación de grado</t>
  </si>
  <si>
    <t>Ingresos restaurante escuela y resto café</t>
  </si>
  <si>
    <t>Ingresos agrotienda</t>
  </si>
  <si>
    <t>Ingresos por patrocinios</t>
  </si>
  <si>
    <t>Ingresos por I+D y servicios empresariales</t>
  </si>
  <si>
    <t>CUADRO DE NECESIDADES FINANCIERAS</t>
  </si>
  <si>
    <t>Flujo de Caja Libre</t>
  </si>
  <si>
    <t>Flujo de Caja Libre para el accionista</t>
  </si>
  <si>
    <t>TESORERIA INICIAL</t>
  </si>
  <si>
    <t>TESORERIA FINAL</t>
  </si>
  <si>
    <t>-Amortización de Deuda bancaria</t>
  </si>
  <si>
    <t>-Devolución de Fondos Propios o dividendos</t>
  </si>
  <si>
    <t>CASH FLOW</t>
  </si>
  <si>
    <t>Consumos</t>
  </si>
  <si>
    <t>Gastos personal profesores GRADO</t>
  </si>
  <si>
    <t>Subcontrataciones profesores GRADO</t>
  </si>
  <si>
    <t>Gastos personal formación continua</t>
  </si>
  <si>
    <t>Gastos personal masters</t>
  </si>
  <si>
    <t>Arrendamientos</t>
  </si>
  <si>
    <t>Mantenimientos</t>
  </si>
  <si>
    <t>Profesionales (abog,audit..)</t>
  </si>
  <si>
    <t>Material de oficina</t>
  </si>
  <si>
    <t>Seguros</t>
  </si>
  <si>
    <t>Limpieza</t>
  </si>
  <si>
    <t>Teléfonos móviles</t>
  </si>
  <si>
    <t>Electricidad</t>
  </si>
  <si>
    <t>Gas</t>
  </si>
  <si>
    <t>Agua</t>
  </si>
  <si>
    <t>Gastos personal administración y comercial</t>
  </si>
  <si>
    <t>Tributos locales (iae, licencias..)</t>
  </si>
  <si>
    <t>Gastos comerciales( public, folletos,actos..)</t>
  </si>
  <si>
    <t>Amortizaciones edificio</t>
  </si>
  <si>
    <t>Amortizaciones equipamiento</t>
  </si>
  <si>
    <t>Gastos financieros</t>
  </si>
  <si>
    <t>Amortizaciones</t>
  </si>
  <si>
    <t>Gastos financieros netos de impuestos</t>
  </si>
  <si>
    <t>Inversiones en Circulante</t>
  </si>
  <si>
    <t>Inversiones en CAPEX parcela</t>
  </si>
  <si>
    <t xml:space="preserve">Inversiones en CAPEX edificio </t>
  </si>
  <si>
    <t>Inversiones en CAPEX instalaciones</t>
  </si>
  <si>
    <t>Inversiones en CAPEX equipamiento</t>
  </si>
  <si>
    <t>-Impuestos s/EBIT</t>
  </si>
  <si>
    <t>NOPAT</t>
  </si>
  <si>
    <t>+Amortizaciones</t>
  </si>
  <si>
    <t>Cash Flow de las Operaciones</t>
  </si>
  <si>
    <t>-CAPEX</t>
  </si>
  <si>
    <t xml:space="preserve">-Inversiones en FM </t>
  </si>
  <si>
    <t>FCL + VR</t>
  </si>
  <si>
    <t>TIR DEL PROYECTO</t>
  </si>
  <si>
    <t>-Gastos Financieros (1-t)</t>
  </si>
  <si>
    <t xml:space="preserve">+Nueva deuda </t>
  </si>
  <si>
    <t>+Valor de Liquidación (VR-Deuda Residual)</t>
  </si>
  <si>
    <t>TIR DE FFPP</t>
  </si>
  <si>
    <t>Gastos Financieros</t>
  </si>
  <si>
    <t>-Nueva Deuda</t>
  </si>
  <si>
    <t>+Deuda Residual</t>
  </si>
  <si>
    <t>Flujo de Caja para la deuda</t>
  </si>
  <si>
    <t>RENTABILIDAD PARA LA DEUDA</t>
  </si>
  <si>
    <t>CUADRE DE LOS FLUJOS DE LA EMPRESA</t>
  </si>
  <si>
    <t>CONCEPTO</t>
  </si>
  <si>
    <t>AÑO 0</t>
  </si>
  <si>
    <t>FCF</t>
  </si>
  <si>
    <t>-Flujo de Caja de los FFPP</t>
  </si>
  <si>
    <t>-Flujo de Caja de la Deuda</t>
  </si>
  <si>
    <t>TOTAL CUADRE</t>
  </si>
  <si>
    <t>+Deuda bancaria a L.P.</t>
  </si>
  <si>
    <t>+Deuda bancaria a C.P.</t>
  </si>
  <si>
    <t>+Aportación de Fondos Propios</t>
  </si>
  <si>
    <t xml:space="preserve">-Devolución de Deuda </t>
  </si>
  <si>
    <t xml:space="preserve">+Devolución de Deuda </t>
  </si>
  <si>
    <t xml:space="preserve">+Ahorro impositivo de los GF </t>
  </si>
  <si>
    <t xml:space="preserve">AHORRO IMPOSITIVO:SERÍA EL TIPO IMPOSITIVO MULTIPLICADO POR LOS GASTOS FINANCIEROS </t>
  </si>
  <si>
    <t>Impuesto sociedades (25%)</t>
  </si>
  <si>
    <t>Teléfonos fijos y internet</t>
  </si>
  <si>
    <t>Seguridad</t>
  </si>
  <si>
    <t>AÑO 9</t>
  </si>
  <si>
    <t>AÑO 10</t>
  </si>
  <si>
    <t>Periodo total</t>
  </si>
  <si>
    <t>DEUDA A LP</t>
  </si>
  <si>
    <t>Comienzo</t>
  </si>
  <si>
    <t>Importe</t>
  </si>
  <si>
    <t>Tipo Anual</t>
  </si>
  <si>
    <t>Años</t>
  </si>
  <si>
    <t>CUOTA ANUAL</t>
  </si>
  <si>
    <t>Periodo</t>
  </si>
  <si>
    <t>Principal</t>
  </si>
  <si>
    <t>Intereses</t>
  </si>
  <si>
    <t>Cuota</t>
  </si>
  <si>
    <t>Capital Pendiente</t>
  </si>
  <si>
    <t>1 AÑO DE CARENCIA</t>
  </si>
  <si>
    <t>V Residual año 10</t>
  </si>
  <si>
    <t xml:space="preserve">CALCULO DE RENTABILIDADES DEL PROYECTO </t>
  </si>
  <si>
    <t>PROYECCIONES DE CUENTA DE RESULTADOS</t>
  </si>
  <si>
    <t xml:space="preserve">24,5 mm en edificio y equipamiento y 10,5 mm en parcela . </t>
  </si>
  <si>
    <t>Gastos agrotienda</t>
  </si>
  <si>
    <t>La Excel contempla una vida del proyecto indefinida años en la cual se debería obtener 21 millones de bolivianos</t>
  </si>
  <si>
    <t>AÑO -1</t>
  </si>
  <si>
    <t>Deuda a L.P. al 7% a 12 años incluído 2 años de carencia</t>
  </si>
  <si>
    <t>RENTA PERPETUA CON FCF DE 6,444 AL 10,3%</t>
  </si>
  <si>
    <t>en préstamo hipotecario que financie el 60% de la inversión inmobiliaria  al 7% a 12 años incluido 2 de carencia</t>
  </si>
  <si>
    <t>Se estima necesario unas inversiones totales de 35 millones de bolivianos. Y un año de construcción.</t>
  </si>
  <si>
    <t>La rentabilidad obtenida por los accionistas durante el proyecto (de forma perpetua) sería del 12,1%.</t>
  </si>
  <si>
    <t>y los accionistas poner 25,6 millones de bolivianos. Apalancamiento 45/55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</si>
</sst>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€&quot;;[Red]\-#,##0.00\ &quot;€&quot;"/>
    <numFmt numFmtId="43" formatCode="_-* #,##0.00\ _€_-;\-* #,##0.00\ _€_-;_-* &quot;-&quot;??\ _€_-;_-@_-"/>
    <numFmt numFmtId="164" formatCode="_-* #,##0\ _€_-;\-* #,##0\ _€_-;_-* &quot;-&quot;??\ _€_-;_-@_-"/>
    <numFmt numFmtId="165" formatCode="0.000%"/>
    <numFmt numFmtId="166" formatCode="#,##0.00\ &quot;€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Arial"/>
      <family val="2"/>
    </font>
    <font>
      <sz val="10"/>
      <color theme="1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4"/>
      <name val="Arial"/>
      <family val="2"/>
    </font>
    <font>
      <b/>
      <i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name val="Arial"/>
      <family val="2"/>
    </font>
    <font>
      <b/>
      <i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name val="Arial"/>
      <family val="2"/>
    </font>
    <font>
      <b/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sz val="18"/>
      <color theme="3" tint="0.39997558519241921"/>
      <name val="Calibri"/>
      <family val="2"/>
      <scheme val="minor"/>
    </font>
    <font>
      <sz val="12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164" fontId="0" fillId="0" borderId="0" xfId="2" applyNumberFormat="1" applyFont="1"/>
    <xf numFmtId="3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0" fontId="5" fillId="0" borderId="0" xfId="0" applyFont="1" applyAlignment="1">
      <alignment horizontal="center"/>
    </xf>
    <xf numFmtId="0" fontId="7" fillId="7" borderId="3" xfId="0" applyFont="1" applyFill="1" applyBorder="1" applyAlignment="1">
      <alignment vertical="center"/>
    </xf>
    <xf numFmtId="0" fontId="8" fillId="0" borderId="0" xfId="0" applyFont="1"/>
    <xf numFmtId="3" fontId="8" fillId="0" borderId="0" xfId="0" applyNumberFormat="1" applyFont="1"/>
    <xf numFmtId="0" fontId="6" fillId="0" borderId="0" xfId="0" applyFont="1"/>
    <xf numFmtId="3" fontId="4" fillId="0" borderId="0" xfId="0" applyNumberFormat="1" applyFont="1"/>
    <xf numFmtId="3" fontId="9" fillId="0" borderId="0" xfId="0" applyNumberFormat="1" applyFont="1"/>
    <xf numFmtId="3" fontId="9" fillId="10" borderId="0" xfId="0" applyNumberFormat="1" applyFont="1" applyFill="1"/>
    <xf numFmtId="164" fontId="4" fillId="0" borderId="0" xfId="2" applyNumberFormat="1" applyFont="1"/>
    <xf numFmtId="0" fontId="10" fillId="5" borderId="15" xfId="0" applyFont="1" applyFill="1" applyBorder="1"/>
    <xf numFmtId="0" fontId="10" fillId="8" borderId="15" xfId="0" applyFont="1" applyFill="1" applyBorder="1"/>
    <xf numFmtId="0" fontId="10" fillId="9" borderId="15" xfId="0" applyFont="1" applyFill="1" applyBorder="1"/>
    <xf numFmtId="0" fontId="10" fillId="4" borderId="15" xfId="0" applyFont="1" applyFill="1" applyBorder="1"/>
    <xf numFmtId="0" fontId="10" fillId="6" borderId="16" xfId="0" applyFont="1" applyFill="1" applyBorder="1"/>
    <xf numFmtId="0" fontId="11" fillId="0" borderId="0" xfId="0" applyFont="1"/>
    <xf numFmtId="0" fontId="2" fillId="11" borderId="0" xfId="0" applyFont="1" applyFill="1"/>
    <xf numFmtId="0" fontId="0" fillId="0" borderId="0" xfId="0" applyBorder="1"/>
    <xf numFmtId="0" fontId="0" fillId="0" borderId="4" xfId="0" applyBorder="1"/>
    <xf numFmtId="3" fontId="0" fillId="0" borderId="6" xfId="0" applyNumberFormat="1" applyBorder="1"/>
    <xf numFmtId="0" fontId="0" fillId="0" borderId="6" xfId="0" applyBorder="1"/>
    <xf numFmtId="0" fontId="0" fillId="0" borderId="7" xfId="0" applyBorder="1"/>
    <xf numFmtId="0" fontId="0" fillId="0" borderId="15" xfId="0" applyBorder="1"/>
    <xf numFmtId="4" fontId="0" fillId="0" borderId="15" xfId="0" applyNumberFormat="1" applyBorder="1"/>
    <xf numFmtId="0" fontId="3" fillId="0" borderId="7" xfId="0" quotePrefix="1" applyFont="1" applyBorder="1"/>
    <xf numFmtId="0" fontId="13" fillId="0" borderId="7" xfId="0" applyFont="1" applyFill="1" applyBorder="1"/>
    <xf numFmtId="4" fontId="13" fillId="0" borderId="15" xfId="0" applyNumberFormat="1" applyFont="1" applyBorder="1"/>
    <xf numFmtId="0" fontId="0" fillId="0" borderId="7" xfId="0" applyFill="1" applyBorder="1"/>
    <xf numFmtId="4" fontId="0" fillId="8" borderId="10" xfId="0" applyNumberFormat="1" applyFill="1" applyBorder="1"/>
    <xf numFmtId="4" fontId="0" fillId="12" borderId="9" xfId="0" applyNumberFormat="1" applyFill="1" applyBorder="1"/>
    <xf numFmtId="0" fontId="13" fillId="0" borderId="0" xfId="0" applyFont="1"/>
    <xf numFmtId="3" fontId="13" fillId="0" borderId="0" xfId="0" applyNumberFormat="1" applyFont="1"/>
    <xf numFmtId="0" fontId="14" fillId="13" borderId="7" xfId="0" applyFont="1" applyFill="1" applyBorder="1"/>
    <xf numFmtId="0" fontId="10" fillId="3" borderId="15" xfId="0" applyFont="1" applyFill="1" applyBorder="1"/>
    <xf numFmtId="3" fontId="0" fillId="0" borderId="15" xfId="0" applyNumberFormat="1" applyBorder="1"/>
    <xf numFmtId="0" fontId="0" fillId="0" borderId="7" xfId="0" quotePrefix="1" applyBorder="1"/>
    <xf numFmtId="0" fontId="0" fillId="15" borderId="7" xfId="0" applyFill="1" applyBorder="1"/>
    <xf numFmtId="3" fontId="0" fillId="15" borderId="15" xfId="0" applyNumberFormat="1" applyFill="1" applyBorder="1"/>
    <xf numFmtId="0" fontId="0" fillId="16" borderId="7" xfId="0" applyFill="1" applyBorder="1"/>
    <xf numFmtId="3" fontId="0" fillId="16" borderId="15" xfId="0" applyNumberFormat="1" applyFill="1" applyBorder="1"/>
    <xf numFmtId="0" fontId="0" fillId="0" borderId="8" xfId="0" applyBorder="1"/>
    <xf numFmtId="3" fontId="0" fillId="0" borderId="18" xfId="0" applyNumberFormat="1" applyBorder="1"/>
    <xf numFmtId="0" fontId="0" fillId="4" borderId="0" xfId="0" applyFill="1"/>
    <xf numFmtId="10" fontId="0" fillId="4" borderId="0" xfId="0" applyNumberFormat="1" applyFill="1"/>
    <xf numFmtId="0" fontId="0" fillId="11" borderId="0" xfId="0" applyFill="1"/>
    <xf numFmtId="10" fontId="0" fillId="17" borderId="0" xfId="0" applyNumberFormat="1" applyFill="1"/>
    <xf numFmtId="0" fontId="0" fillId="17" borderId="0" xfId="0" applyFill="1"/>
    <xf numFmtId="0" fontId="3" fillId="2" borderId="7" xfId="0" applyFont="1" applyFill="1" applyBorder="1"/>
    <xf numFmtId="0" fontId="0" fillId="0" borderId="5" xfId="0" applyBorder="1"/>
    <xf numFmtId="3" fontId="0" fillId="0" borderId="19" xfId="0" applyNumberFormat="1" applyBorder="1"/>
    <xf numFmtId="0" fontId="3" fillId="0" borderId="17" xfId="0" quotePrefix="1" applyFont="1" applyBorder="1"/>
    <xf numFmtId="0" fontId="0" fillId="0" borderId="17" xfId="0" quotePrefix="1" applyBorder="1"/>
    <xf numFmtId="0" fontId="0" fillId="0" borderId="20" xfId="0" quotePrefix="1" applyBorder="1"/>
    <xf numFmtId="0" fontId="0" fillId="14" borderId="11" xfId="0" applyFill="1" applyBorder="1"/>
    <xf numFmtId="3" fontId="0" fillId="14" borderId="1" xfId="0" applyNumberFormat="1" applyFill="1" applyBorder="1"/>
    <xf numFmtId="3" fontId="0" fillId="14" borderId="2" xfId="0" applyNumberFormat="1" applyFill="1" applyBorder="1"/>
    <xf numFmtId="0" fontId="0" fillId="0" borderId="0" xfId="0" applyFont="1" applyFill="1" applyBorder="1"/>
    <xf numFmtId="0" fontId="4" fillId="0" borderId="7" xfId="0" quotePrefix="1" applyFont="1" applyBorder="1"/>
    <xf numFmtId="0" fontId="0" fillId="8" borderId="11" xfId="0" applyFill="1" applyBorder="1"/>
    <xf numFmtId="0" fontId="0" fillId="12" borderId="8" xfId="0" applyFill="1" applyBorder="1"/>
    <xf numFmtId="0" fontId="0" fillId="0" borderId="14" xfId="0" applyBorder="1"/>
    <xf numFmtId="0" fontId="0" fillId="0" borderId="21" xfId="0" applyBorder="1"/>
    <xf numFmtId="0" fontId="3" fillId="0" borderId="21" xfId="0" quotePrefix="1" applyFont="1" applyBorder="1"/>
    <xf numFmtId="0" fontId="13" fillId="0" borderId="21" xfId="0" applyFont="1" applyFill="1" applyBorder="1"/>
    <xf numFmtId="0" fontId="0" fillId="0" borderId="21" xfId="0" applyFill="1" applyBorder="1"/>
    <xf numFmtId="164" fontId="4" fillId="5" borderId="0" xfId="2" applyNumberFormat="1" applyFont="1" applyFill="1"/>
    <xf numFmtId="164" fontId="4" fillId="8" borderId="0" xfId="2" applyNumberFormat="1" applyFont="1" applyFill="1"/>
    <xf numFmtId="0" fontId="3" fillId="0" borderId="0" xfId="1" applyAlignment="1">
      <alignment vertical="center"/>
    </xf>
    <xf numFmtId="0" fontId="3" fillId="0" borderId="0" xfId="1" applyAlignment="1">
      <alignment horizontal="center" vertical="center"/>
    </xf>
    <xf numFmtId="0" fontId="18" fillId="0" borderId="0" xfId="1" applyFont="1" applyAlignment="1">
      <alignment vertical="center"/>
    </xf>
    <xf numFmtId="17" fontId="3" fillId="0" borderId="0" xfId="1" applyNumberFormat="1" applyAlignment="1">
      <alignment horizontal="center" vertical="center"/>
    </xf>
    <xf numFmtId="0" fontId="13" fillId="0" borderId="0" xfId="1" applyFont="1" applyAlignment="1">
      <alignment vertical="center"/>
    </xf>
    <xf numFmtId="4" fontId="13" fillId="0" borderId="0" xfId="1" applyNumberFormat="1" applyFont="1" applyAlignment="1">
      <alignment vertical="center"/>
    </xf>
    <xf numFmtId="165" fontId="3" fillId="0" borderId="0" xfId="1" applyNumberFormat="1" applyAlignment="1">
      <alignment vertical="center"/>
    </xf>
    <xf numFmtId="165" fontId="3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9" fillId="19" borderId="11" xfId="1" applyFont="1" applyFill="1" applyBorder="1" applyAlignment="1">
      <alignment horizontal="center" vertical="center" wrapText="1"/>
    </xf>
    <xf numFmtId="166" fontId="20" fillId="19" borderId="12" xfId="1" applyNumberFormat="1" applyFont="1" applyFill="1" applyBorder="1" applyAlignment="1">
      <alignment horizontal="center" vertical="center" wrapText="1"/>
    </xf>
    <xf numFmtId="0" fontId="21" fillId="0" borderId="0" xfId="1" applyFont="1" applyAlignment="1">
      <alignment horizontal="center" vertical="center"/>
    </xf>
    <xf numFmtId="0" fontId="19" fillId="19" borderId="0" xfId="1" applyFont="1" applyFill="1" applyAlignment="1">
      <alignment horizontal="center" vertical="center" wrapText="1"/>
    </xf>
    <xf numFmtId="0" fontId="19" fillId="0" borderId="0" xfId="1" applyFont="1" applyFill="1" applyAlignment="1">
      <alignment horizontal="center" vertical="center" wrapText="1"/>
    </xf>
    <xf numFmtId="8" fontId="3" fillId="0" borderId="0" xfId="1" applyNumberFormat="1" applyAlignment="1">
      <alignment vertical="center"/>
    </xf>
    <xf numFmtId="0" fontId="22" fillId="20" borderId="0" xfId="1" applyFont="1" applyFill="1" applyAlignment="1">
      <alignment horizontal="center" vertical="center" wrapText="1"/>
    </xf>
    <xf numFmtId="3" fontId="9" fillId="5" borderId="0" xfId="0" applyNumberFormat="1" applyFont="1" applyFill="1"/>
    <xf numFmtId="3" fontId="9" fillId="8" borderId="0" xfId="0" applyNumberFormat="1" applyFont="1" applyFill="1"/>
    <xf numFmtId="164" fontId="4" fillId="0" borderId="0" xfId="0" applyNumberFormat="1" applyFont="1"/>
    <xf numFmtId="3" fontId="9" fillId="3" borderId="0" xfId="0" applyNumberFormat="1" applyFont="1" applyFill="1"/>
    <xf numFmtId="164" fontId="4" fillId="3" borderId="0" xfId="2" applyNumberFormat="1" applyFont="1" applyFill="1"/>
    <xf numFmtId="3" fontId="9" fillId="9" borderId="0" xfId="0" applyNumberFormat="1" applyFont="1" applyFill="1"/>
    <xf numFmtId="164" fontId="4" fillId="9" borderId="0" xfId="2" applyNumberFormat="1" applyFont="1" applyFill="1"/>
    <xf numFmtId="3" fontId="9" fillId="4" borderId="0" xfId="0" applyNumberFormat="1" applyFont="1" applyFill="1"/>
    <xf numFmtId="164" fontId="4" fillId="4" borderId="0" xfId="2" applyNumberFormat="1" applyFont="1" applyFill="1"/>
    <xf numFmtId="0" fontId="13" fillId="9" borderId="11" xfId="0" applyFont="1" applyFill="1" applyBorder="1"/>
    <xf numFmtId="3" fontId="15" fillId="9" borderId="1" xfId="0" applyNumberFormat="1" applyFont="1" applyFill="1" applyBorder="1"/>
    <xf numFmtId="3" fontId="15" fillId="9" borderId="2" xfId="0" applyNumberFormat="1" applyFont="1" applyFill="1" applyBorder="1"/>
    <xf numFmtId="0" fontId="2" fillId="11" borderId="10" xfId="0" applyFont="1" applyFill="1" applyBorder="1"/>
    <xf numFmtId="0" fontId="23" fillId="21" borderId="0" xfId="0" applyFont="1" applyFill="1"/>
    <xf numFmtId="0" fontId="24" fillId="0" borderId="0" xfId="0" applyFont="1" applyAlignment="1">
      <alignment horizontal="left" vertical="center"/>
    </xf>
    <xf numFmtId="4" fontId="0" fillId="0" borderId="15" xfId="0" applyNumberFormat="1" applyFill="1" applyBorder="1"/>
    <xf numFmtId="0" fontId="10" fillId="5" borderId="0" xfId="0" applyFont="1" applyFill="1" applyBorder="1"/>
    <xf numFmtId="0" fontId="10" fillId="8" borderId="0" xfId="0" applyFont="1" applyFill="1" applyBorder="1"/>
    <xf numFmtId="0" fontId="10" fillId="9" borderId="0" xfId="0" applyFont="1" applyFill="1" applyBorder="1"/>
    <xf numFmtId="0" fontId="10" fillId="4" borderId="0" xfId="0" applyFont="1" applyFill="1" applyBorder="1"/>
    <xf numFmtId="0" fontId="10" fillId="3" borderId="0" xfId="0" applyFont="1" applyFill="1" applyBorder="1"/>
    <xf numFmtId="0" fontId="0" fillId="0" borderId="22" xfId="0" applyBorder="1"/>
    <xf numFmtId="3" fontId="9" fillId="10" borderId="21" xfId="0" applyNumberFormat="1" applyFont="1" applyFill="1" applyBorder="1"/>
    <xf numFmtId="0" fontId="12" fillId="9" borderId="0" xfId="0" applyFont="1" applyFill="1" applyAlignment="1">
      <alignment horizontal="center"/>
    </xf>
    <xf numFmtId="0" fontId="0" fillId="18" borderId="11" xfId="0" applyFill="1" applyBorder="1" applyAlignment="1">
      <alignment horizontal="center"/>
    </xf>
    <xf numFmtId="0" fontId="0" fillId="18" borderId="13" xfId="0" applyFill="1" applyBorder="1" applyAlignment="1">
      <alignment horizontal="center"/>
    </xf>
    <xf numFmtId="0" fontId="0" fillId="18" borderId="12" xfId="0" applyFill="1" applyBorder="1" applyAlignment="1">
      <alignment horizontal="center"/>
    </xf>
    <xf numFmtId="9" fontId="4" fillId="0" borderId="0" xfId="3" applyFont="1"/>
    <xf numFmtId="9" fontId="5" fillId="0" borderId="0" xfId="3" applyFont="1"/>
  </cellXfs>
  <cellStyles count="4">
    <cellStyle name="Millares" xfId="2" builtinId="3"/>
    <cellStyle name="Normal" xfId="0" builtinId="0"/>
    <cellStyle name="Normal 2" xfId="1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3"/>
  <sheetViews>
    <sheetView topLeftCell="A10" workbookViewId="0">
      <selection activeCell="G24" sqref="G24"/>
    </sheetView>
  </sheetViews>
  <sheetFormatPr baseColWidth="10" defaultRowHeight="15" x14ac:dyDescent="0.25"/>
  <cols>
    <col min="1" max="1" width="5.28515625" customWidth="1"/>
    <col min="3" max="3" width="13.7109375" bestFit="1" customWidth="1"/>
    <col min="4" max="4" width="18.140625" customWidth="1"/>
    <col min="5" max="5" width="26.28515625" customWidth="1"/>
    <col min="6" max="6" width="15.42578125" customWidth="1"/>
    <col min="7" max="7" width="23.7109375" customWidth="1"/>
  </cols>
  <sheetData>
    <row r="2" spans="2:8" ht="14.45" x14ac:dyDescent="0.3">
      <c r="B2" s="73"/>
      <c r="C2" s="74"/>
      <c r="D2" s="73" t="s">
        <v>99</v>
      </c>
      <c r="E2" s="74">
        <v>20</v>
      </c>
      <c r="F2" s="73"/>
      <c r="G2" s="73"/>
      <c r="H2" s="73"/>
    </row>
    <row r="3" spans="2:8" ht="15.75" x14ac:dyDescent="0.25">
      <c r="B3" s="75" t="s">
        <v>100</v>
      </c>
      <c r="C3" s="74"/>
      <c r="D3" s="73" t="s">
        <v>101</v>
      </c>
      <c r="E3" s="76">
        <v>43101</v>
      </c>
      <c r="F3" s="73"/>
      <c r="G3" s="73" t="s">
        <v>111</v>
      </c>
      <c r="H3" s="73"/>
    </row>
    <row r="4" spans="2:8" ht="14.45" x14ac:dyDescent="0.3">
      <c r="B4" s="73"/>
      <c r="C4" s="74"/>
      <c r="D4" s="73"/>
      <c r="E4" s="73"/>
      <c r="F4" s="73"/>
      <c r="G4" s="73"/>
      <c r="H4" s="73"/>
    </row>
    <row r="5" spans="2:8" ht="14.45" x14ac:dyDescent="0.3">
      <c r="B5" s="73"/>
      <c r="C5" s="74"/>
      <c r="D5" s="77" t="s">
        <v>102</v>
      </c>
      <c r="E5" s="78">
        <v>21000000</v>
      </c>
      <c r="F5" s="73"/>
      <c r="G5" s="73"/>
      <c r="H5" s="73"/>
    </row>
    <row r="6" spans="2:8" ht="14.45" x14ac:dyDescent="0.3">
      <c r="B6" s="73"/>
      <c r="C6" s="74"/>
      <c r="D6" s="73" t="s">
        <v>103</v>
      </c>
      <c r="E6" s="79">
        <v>7.0000000000000007E-2</v>
      </c>
      <c r="F6" s="80">
        <f>+E6</f>
        <v>7.0000000000000007E-2</v>
      </c>
      <c r="G6" s="73"/>
      <c r="H6" s="73"/>
    </row>
    <row r="7" spans="2:8" x14ac:dyDescent="0.25">
      <c r="B7" s="73"/>
      <c r="C7" s="74"/>
      <c r="D7" s="73" t="s">
        <v>104</v>
      </c>
      <c r="E7" s="73">
        <v>10</v>
      </c>
      <c r="F7" s="81">
        <f>+E7</f>
        <v>10</v>
      </c>
      <c r="G7" s="73"/>
      <c r="H7" s="73"/>
    </row>
    <row r="8" spans="2:8" thickBot="1" x14ac:dyDescent="0.35">
      <c r="B8" s="73"/>
      <c r="C8" s="74"/>
      <c r="D8" s="73"/>
      <c r="E8" s="73"/>
      <c r="F8" s="73"/>
      <c r="G8" s="73"/>
      <c r="H8" s="73"/>
    </row>
    <row r="9" spans="2:8" ht="16.5" thickBot="1" x14ac:dyDescent="0.3">
      <c r="B9" s="73"/>
      <c r="C9" s="74"/>
      <c r="D9" s="82" t="s">
        <v>105</v>
      </c>
      <c r="E9" s="83">
        <f>+F16</f>
        <v>2989927.5572746592</v>
      </c>
      <c r="F9" s="73"/>
      <c r="G9" s="73"/>
      <c r="H9" s="73"/>
    </row>
    <row r="10" spans="2:8" ht="14.45" x14ac:dyDescent="0.3">
      <c r="B10" s="73"/>
      <c r="C10" s="74"/>
      <c r="D10" s="84"/>
      <c r="E10" s="73"/>
      <c r="F10" s="73"/>
      <c r="G10" s="73"/>
      <c r="H10" s="73"/>
    </row>
    <row r="11" spans="2:8" ht="14.45" x14ac:dyDescent="0.3">
      <c r="B11" s="73"/>
      <c r="C11" s="74"/>
      <c r="D11" s="73"/>
      <c r="E11" s="73"/>
      <c r="F11" s="73"/>
      <c r="G11" s="73"/>
      <c r="H11" s="73"/>
    </row>
    <row r="12" spans="2:8" ht="14.45" x14ac:dyDescent="0.3">
      <c r="B12" s="85" t="s">
        <v>106</v>
      </c>
      <c r="C12" s="85"/>
      <c r="D12" s="85" t="s">
        <v>107</v>
      </c>
      <c r="E12" s="85" t="s">
        <v>108</v>
      </c>
      <c r="F12" s="85" t="s">
        <v>109</v>
      </c>
      <c r="G12" s="85" t="s">
        <v>110</v>
      </c>
      <c r="H12" s="73"/>
    </row>
    <row r="13" spans="2:8" ht="14.45" x14ac:dyDescent="0.3">
      <c r="B13" s="73"/>
      <c r="C13" s="86"/>
      <c r="D13" s="87"/>
      <c r="E13" s="87"/>
      <c r="F13" s="87"/>
      <c r="G13" s="87"/>
      <c r="H13" s="73"/>
    </row>
    <row r="14" spans="2:8" ht="14.45" x14ac:dyDescent="0.3">
      <c r="B14" s="73">
        <v>1</v>
      </c>
      <c r="C14" s="86"/>
      <c r="D14" s="87"/>
      <c r="E14" s="87">
        <f>+E5*E6</f>
        <v>1470000.0000000002</v>
      </c>
      <c r="F14" s="87">
        <f t="shared" ref="F14:F24" si="0">+D14+E14</f>
        <v>1470000.0000000002</v>
      </c>
      <c r="G14" s="87">
        <f>+E5-D13</f>
        <v>21000000</v>
      </c>
      <c r="H14" s="73"/>
    </row>
    <row r="15" spans="2:8" ht="14.45" x14ac:dyDescent="0.3">
      <c r="B15" s="73">
        <v>2</v>
      </c>
      <c r="C15" s="86"/>
      <c r="D15" s="87"/>
      <c r="E15" s="87">
        <f>+E5*E6</f>
        <v>1470000.0000000002</v>
      </c>
      <c r="F15" s="87">
        <f t="shared" ref="F15" si="1">+D15+E15</f>
        <v>1470000.0000000002</v>
      </c>
      <c r="G15" s="87">
        <f>+E5-D13</f>
        <v>21000000</v>
      </c>
      <c r="H15" s="73"/>
    </row>
    <row r="16" spans="2:8" ht="14.45" x14ac:dyDescent="0.3">
      <c r="B16" s="73">
        <v>3</v>
      </c>
      <c r="C16" s="88">
        <v>1</v>
      </c>
      <c r="D16" s="87">
        <f t="shared" ref="D16:D23" si="2">-PPMT($F$6,C16,$F$7,$E$5)</f>
        <v>1519927.5572746592</v>
      </c>
      <c r="E16" s="87">
        <f t="shared" ref="E16:E24" si="3">-IPMT($F$6,C16,$F$7,$E$5)</f>
        <v>1470000.0000000002</v>
      </c>
      <c r="F16" s="87">
        <f t="shared" si="0"/>
        <v>2989927.5572746592</v>
      </c>
      <c r="G16" s="87">
        <f>+G14-D16</f>
        <v>19480072.442725342</v>
      </c>
      <c r="H16" s="73"/>
    </row>
    <row r="17" spans="2:8" ht="14.45" x14ac:dyDescent="0.3">
      <c r="B17" s="73">
        <v>4</v>
      </c>
      <c r="C17" s="88">
        <v>2</v>
      </c>
      <c r="D17" s="87">
        <f t="shared" si="2"/>
        <v>1626322.4862838851</v>
      </c>
      <c r="E17" s="87">
        <f t="shared" si="3"/>
        <v>1363605.0709907743</v>
      </c>
      <c r="F17" s="87">
        <f t="shared" si="0"/>
        <v>2989927.5572746592</v>
      </c>
      <c r="G17" s="87">
        <f t="shared" ref="G17:G24" si="4">+G16-D17</f>
        <v>17853749.956441458</v>
      </c>
      <c r="H17" s="73"/>
    </row>
    <row r="18" spans="2:8" ht="14.45" x14ac:dyDescent="0.3">
      <c r="B18" s="73">
        <v>5</v>
      </c>
      <c r="C18" s="88">
        <v>3</v>
      </c>
      <c r="D18" s="87">
        <f t="shared" si="2"/>
        <v>1740165.0603237576</v>
      </c>
      <c r="E18" s="87">
        <f t="shared" si="3"/>
        <v>1249762.4969509025</v>
      </c>
      <c r="F18" s="87">
        <f t="shared" si="0"/>
        <v>2989927.5572746601</v>
      </c>
      <c r="G18" s="87">
        <f t="shared" si="4"/>
        <v>16113584.8961177</v>
      </c>
      <c r="H18" s="73"/>
    </row>
    <row r="19" spans="2:8" ht="14.45" x14ac:dyDescent="0.3">
      <c r="B19" s="73">
        <v>6</v>
      </c>
      <c r="C19" s="88">
        <v>4</v>
      </c>
      <c r="D19" s="87">
        <f t="shared" si="2"/>
        <v>1861976.6145464205</v>
      </c>
      <c r="E19" s="87">
        <f t="shared" si="3"/>
        <v>1127950.9427282391</v>
      </c>
      <c r="F19" s="87">
        <f t="shared" si="0"/>
        <v>2989927.5572746596</v>
      </c>
      <c r="G19" s="87">
        <f t="shared" si="4"/>
        <v>14251608.28157128</v>
      </c>
      <c r="H19" s="73"/>
    </row>
    <row r="20" spans="2:8" ht="14.45" x14ac:dyDescent="0.3">
      <c r="B20" s="73">
        <v>7</v>
      </c>
      <c r="C20" s="88">
        <v>5</v>
      </c>
      <c r="D20" s="87">
        <f t="shared" si="2"/>
        <v>1992314.9775646697</v>
      </c>
      <c r="E20" s="87">
        <f t="shared" si="3"/>
        <v>997612.57970998983</v>
      </c>
      <c r="F20" s="87">
        <f t="shared" si="0"/>
        <v>2989927.5572746596</v>
      </c>
      <c r="G20" s="87">
        <f t="shared" si="4"/>
        <v>12259293.30400661</v>
      </c>
      <c r="H20" s="73"/>
    </row>
    <row r="21" spans="2:8" ht="14.45" x14ac:dyDescent="0.3">
      <c r="B21" s="73">
        <v>8</v>
      </c>
      <c r="C21" s="88">
        <v>6</v>
      </c>
      <c r="D21" s="87">
        <f t="shared" si="2"/>
        <v>2131777.0259941965</v>
      </c>
      <c r="E21" s="87">
        <f t="shared" si="3"/>
        <v>858150.53128046275</v>
      </c>
      <c r="F21" s="87">
        <f t="shared" si="0"/>
        <v>2989927.5572746592</v>
      </c>
      <c r="G21" s="87">
        <f t="shared" si="4"/>
        <v>10127516.278012414</v>
      </c>
      <c r="H21" s="73"/>
    </row>
    <row r="22" spans="2:8" ht="14.45" x14ac:dyDescent="0.3">
      <c r="B22" s="73">
        <v>9</v>
      </c>
      <c r="C22" s="88">
        <v>7</v>
      </c>
      <c r="D22" s="87">
        <f t="shared" si="2"/>
        <v>2281001.4178137905</v>
      </c>
      <c r="E22" s="87">
        <f t="shared" si="3"/>
        <v>708926.13946086902</v>
      </c>
      <c r="F22" s="87">
        <f t="shared" si="0"/>
        <v>2989927.5572746596</v>
      </c>
      <c r="G22" s="87">
        <f t="shared" si="4"/>
        <v>7846514.8601986226</v>
      </c>
      <c r="H22" s="73"/>
    </row>
    <row r="23" spans="2:8" ht="14.45" x14ac:dyDescent="0.3">
      <c r="B23" s="73">
        <v>10</v>
      </c>
      <c r="C23" s="88">
        <v>8</v>
      </c>
      <c r="D23" s="87">
        <f t="shared" si="2"/>
        <v>2440671.5170607558</v>
      </c>
      <c r="E23" s="87">
        <f t="shared" si="3"/>
        <v>549256.04021390365</v>
      </c>
      <c r="F23" s="87">
        <f t="shared" si="0"/>
        <v>2989927.5572746592</v>
      </c>
      <c r="G23" s="87">
        <f t="shared" si="4"/>
        <v>5405843.3431378668</v>
      </c>
      <c r="H23" s="73"/>
    </row>
    <row r="24" spans="2:8" ht="14.45" x14ac:dyDescent="0.3">
      <c r="B24" s="73">
        <v>11</v>
      </c>
      <c r="C24" s="88">
        <v>9</v>
      </c>
      <c r="D24" s="87">
        <f>-PPMT($F$6,C24,$F$7,$E$5)</f>
        <v>2611518.5232550087</v>
      </c>
      <c r="E24" s="87">
        <f t="shared" si="3"/>
        <v>378409.03401965083</v>
      </c>
      <c r="F24" s="87">
        <f t="shared" si="0"/>
        <v>2989927.5572746596</v>
      </c>
      <c r="G24" s="87">
        <f t="shared" si="4"/>
        <v>2794324.8198828581</v>
      </c>
      <c r="H24" s="73"/>
    </row>
    <row r="25" spans="2:8" ht="14.45" x14ac:dyDescent="0.3">
      <c r="B25" s="73">
        <v>12</v>
      </c>
      <c r="C25" s="88">
        <v>10</v>
      </c>
      <c r="D25" s="87">
        <f>-PPMT($F$6,C25,$F$7,$E$5)</f>
        <v>2794324.819882859</v>
      </c>
      <c r="E25" s="87">
        <f t="shared" ref="E25" si="5">-IPMT($F$6,C25,$F$7,$E$5)</f>
        <v>195602.73739180018</v>
      </c>
      <c r="F25" s="87">
        <f t="shared" ref="F25" si="6">+D25+E25</f>
        <v>2989927.5572746592</v>
      </c>
      <c r="G25" s="87">
        <f t="shared" ref="G25" si="7">+G24-D25</f>
        <v>0</v>
      </c>
      <c r="H25" s="73"/>
    </row>
    <row r="26" spans="2:8" x14ac:dyDescent="0.25">
      <c r="B26" s="73"/>
      <c r="C26" s="88"/>
      <c r="D26" s="87"/>
      <c r="E26" s="87"/>
      <c r="F26" s="87"/>
      <c r="G26" s="87"/>
      <c r="H26" s="73"/>
    </row>
    <row r="27" spans="2:8" x14ac:dyDescent="0.25">
      <c r="B27" s="73"/>
      <c r="C27" s="88"/>
      <c r="D27" s="87"/>
      <c r="E27" s="87"/>
      <c r="F27" s="87"/>
      <c r="G27" s="87"/>
      <c r="H27" s="73"/>
    </row>
    <row r="28" spans="2:8" x14ac:dyDescent="0.25">
      <c r="B28" s="73"/>
      <c r="C28" s="88"/>
      <c r="D28" s="87"/>
      <c r="E28" s="87"/>
      <c r="F28" s="87"/>
      <c r="G28" s="87"/>
      <c r="H28" s="73"/>
    </row>
    <row r="29" spans="2:8" x14ac:dyDescent="0.25">
      <c r="B29" s="73"/>
      <c r="C29" s="88"/>
      <c r="D29" s="87"/>
      <c r="E29" s="87"/>
      <c r="F29" s="87"/>
      <c r="G29" s="87"/>
      <c r="H29" s="73"/>
    </row>
    <row r="30" spans="2:8" x14ac:dyDescent="0.25">
      <c r="B30" s="73"/>
      <c r="C30" s="88"/>
      <c r="D30" s="87"/>
      <c r="E30" s="87"/>
      <c r="F30" s="87"/>
      <c r="G30" s="87"/>
      <c r="H30" s="73"/>
    </row>
    <row r="31" spans="2:8" x14ac:dyDescent="0.25">
      <c r="B31" s="73"/>
      <c r="C31" s="88"/>
      <c r="D31" s="87"/>
      <c r="E31" s="87"/>
      <c r="F31" s="87"/>
      <c r="G31" s="87"/>
      <c r="H31" s="73"/>
    </row>
    <row r="32" spans="2:8" x14ac:dyDescent="0.25">
      <c r="B32" s="73"/>
      <c r="C32" s="88"/>
      <c r="D32" s="87"/>
      <c r="E32" s="87"/>
      <c r="F32" s="87"/>
      <c r="G32" s="87"/>
      <c r="H32" s="73"/>
    </row>
    <row r="33" spans="2:7" x14ac:dyDescent="0.25">
      <c r="B33" s="73"/>
      <c r="C33" s="88"/>
      <c r="D33" s="87"/>
      <c r="E33" s="87"/>
      <c r="F33" s="87"/>
      <c r="G33" s="87"/>
    </row>
  </sheetData>
  <pageMargins left="0.11811023622047245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64"/>
  <sheetViews>
    <sheetView tabSelected="1" topLeftCell="C3" zoomScale="59" zoomScaleNormal="59" workbookViewId="0">
      <selection activeCell="O11" sqref="O11"/>
    </sheetView>
  </sheetViews>
  <sheetFormatPr baseColWidth="10" defaultRowHeight="15" x14ac:dyDescent="0.25"/>
  <cols>
    <col min="1" max="1" width="65.28515625" customWidth="1"/>
    <col min="2" max="2" width="23.85546875" customWidth="1"/>
    <col min="3" max="3" width="19.7109375" customWidth="1"/>
    <col min="4" max="4" width="18.42578125" customWidth="1"/>
    <col min="5" max="5" width="19.140625" customWidth="1"/>
    <col min="6" max="6" width="17" customWidth="1"/>
    <col min="7" max="7" width="17.7109375" customWidth="1"/>
    <col min="8" max="8" width="17.28515625" customWidth="1"/>
    <col min="9" max="9" width="17.42578125" customWidth="1"/>
    <col min="10" max="10" width="18.85546875" customWidth="1"/>
    <col min="11" max="11" width="19.28515625" customWidth="1"/>
    <col min="12" max="12" width="15.5703125" customWidth="1"/>
    <col min="13" max="13" width="19.28515625" customWidth="1"/>
    <col min="14" max="14" width="13.5703125" bestFit="1" customWidth="1"/>
    <col min="15" max="16" width="14.5703125" bestFit="1" customWidth="1"/>
    <col min="17" max="19" width="13.5703125" bestFit="1" customWidth="1"/>
  </cols>
  <sheetData>
    <row r="1" spans="1:19" ht="21" x14ac:dyDescent="0.4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9" ht="23.45" x14ac:dyDescent="0.45">
      <c r="A2" s="5"/>
      <c r="B2" s="5"/>
      <c r="C2" s="5"/>
      <c r="D2" s="5"/>
      <c r="E2" s="102" t="s">
        <v>114</v>
      </c>
      <c r="F2" s="102"/>
      <c r="G2" s="102"/>
      <c r="H2" s="102"/>
      <c r="I2" s="5"/>
      <c r="J2" s="5"/>
      <c r="K2" s="5"/>
      <c r="L2" s="5"/>
      <c r="M2" s="5"/>
      <c r="N2" s="5"/>
    </row>
    <row r="3" spans="1:19" ht="2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9" s="3" customFormat="1" ht="21.75" thickBot="1" x14ac:dyDescent="0.4">
      <c r="A4" s="7"/>
      <c r="B4" s="8" t="s">
        <v>118</v>
      </c>
      <c r="C4" s="8" t="s">
        <v>82</v>
      </c>
      <c r="D4" s="8" t="s">
        <v>0</v>
      </c>
      <c r="E4" s="8" t="s">
        <v>1</v>
      </c>
      <c r="F4" s="8" t="s">
        <v>2</v>
      </c>
      <c r="G4" s="8" t="s">
        <v>3</v>
      </c>
      <c r="H4" s="8" t="s">
        <v>4</v>
      </c>
      <c r="I4" s="8" t="s">
        <v>5</v>
      </c>
      <c r="J4" s="8" t="s">
        <v>6</v>
      </c>
      <c r="K4" s="8" t="s">
        <v>7</v>
      </c>
      <c r="L4" s="8" t="s">
        <v>97</v>
      </c>
      <c r="M4" s="8" t="s">
        <v>98</v>
      </c>
      <c r="N4" s="7"/>
    </row>
    <row r="5" spans="1:19" ht="21" x14ac:dyDescent="0.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9" ht="21" x14ac:dyDescent="0.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9" ht="21" x14ac:dyDescent="0.4">
      <c r="A7" s="11" t="s">
        <v>8</v>
      </c>
      <c r="B7" s="11"/>
      <c r="C7" s="11"/>
      <c r="D7" s="4"/>
      <c r="E7" s="4"/>
      <c r="F7" s="4"/>
      <c r="G7" s="4"/>
      <c r="H7" s="4"/>
      <c r="I7" s="4"/>
      <c r="J7" s="4"/>
      <c r="K7" s="4"/>
      <c r="L7" s="9"/>
      <c r="M7" s="5"/>
      <c r="N7" s="5"/>
    </row>
    <row r="8" spans="1:19" ht="2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9"/>
      <c r="M8" s="5"/>
      <c r="N8" s="5"/>
    </row>
    <row r="9" spans="1:19" ht="21" x14ac:dyDescent="0.35">
      <c r="A9" s="4" t="s">
        <v>22</v>
      </c>
      <c r="B9" s="4"/>
      <c r="C9" s="116"/>
      <c r="D9" s="12">
        <v>1670000</v>
      </c>
      <c r="E9" s="12">
        <v>3560000</v>
      </c>
      <c r="F9" s="12">
        <v>5730000</v>
      </c>
      <c r="G9" s="12">
        <v>8200000</v>
      </c>
      <c r="H9" s="12">
        <v>9580000</v>
      </c>
      <c r="I9" s="12">
        <v>10780000</v>
      </c>
      <c r="J9" s="12">
        <v>11720000</v>
      </c>
      <c r="K9" s="12">
        <v>12320000</v>
      </c>
      <c r="L9" s="12">
        <v>12320000</v>
      </c>
      <c r="M9" s="12">
        <v>12320000</v>
      </c>
      <c r="N9" s="117"/>
      <c r="O9" s="6"/>
      <c r="P9" s="6"/>
      <c r="Q9" s="2"/>
      <c r="R9" s="2"/>
      <c r="S9" s="2"/>
    </row>
    <row r="10" spans="1:19" ht="21" x14ac:dyDescent="0.35">
      <c r="A10" s="4" t="s">
        <v>16</v>
      </c>
      <c r="B10" s="4"/>
      <c r="C10" s="116"/>
      <c r="D10" s="12">
        <v>551000</v>
      </c>
      <c r="E10" s="12">
        <v>805000</v>
      </c>
      <c r="F10" s="12">
        <v>1149600</v>
      </c>
      <c r="G10" s="12">
        <v>1436800</v>
      </c>
      <c r="H10" s="12">
        <v>1569600</v>
      </c>
      <c r="I10" s="12">
        <v>1882400</v>
      </c>
      <c r="J10" s="12">
        <v>2026400</v>
      </c>
      <c r="K10" s="12">
        <v>2364000</v>
      </c>
      <c r="L10" s="12">
        <v>2544000</v>
      </c>
      <c r="M10" s="12">
        <v>2544000</v>
      </c>
      <c r="N10" s="117"/>
      <c r="O10" s="6"/>
      <c r="P10" s="6"/>
    </row>
    <row r="11" spans="1:19" ht="21" x14ac:dyDescent="0.35">
      <c r="A11" s="4" t="s">
        <v>23</v>
      </c>
      <c r="B11" s="4"/>
      <c r="C11" s="4"/>
      <c r="D11" s="12">
        <v>130000</v>
      </c>
      <c r="E11" s="12">
        <v>240000</v>
      </c>
      <c r="F11" s="12">
        <v>330000</v>
      </c>
      <c r="G11" s="12">
        <v>410000</v>
      </c>
      <c r="H11" s="12">
        <v>480000</v>
      </c>
      <c r="I11" s="12">
        <v>560000</v>
      </c>
      <c r="J11" s="12">
        <v>650000</v>
      </c>
      <c r="K11" s="12">
        <v>780000</v>
      </c>
      <c r="L11" s="12">
        <v>780000</v>
      </c>
      <c r="M11" s="12">
        <v>780000</v>
      </c>
      <c r="N11" s="6"/>
      <c r="O11" s="6"/>
      <c r="P11" s="6"/>
    </row>
    <row r="12" spans="1:19" ht="21" x14ac:dyDescent="0.4">
      <c r="A12" s="4" t="s">
        <v>24</v>
      </c>
      <c r="B12" s="4"/>
      <c r="C12" s="4"/>
      <c r="D12" s="12">
        <v>300000</v>
      </c>
      <c r="E12" s="12">
        <v>525000</v>
      </c>
      <c r="F12" s="12">
        <v>750000</v>
      </c>
      <c r="G12" s="12">
        <v>900000</v>
      </c>
      <c r="H12" s="12">
        <v>1050000</v>
      </c>
      <c r="I12" s="12">
        <v>1140000</v>
      </c>
      <c r="J12" s="12">
        <v>1245000</v>
      </c>
      <c r="K12" s="12">
        <v>1350000</v>
      </c>
      <c r="L12" s="12">
        <v>1440000</v>
      </c>
      <c r="M12" s="12">
        <v>1500000</v>
      </c>
      <c r="N12" s="6"/>
      <c r="O12" s="6"/>
      <c r="P12" s="6"/>
    </row>
    <row r="13" spans="1:19" ht="21" x14ac:dyDescent="0.4">
      <c r="A13" s="4" t="s">
        <v>18</v>
      </c>
      <c r="B13" s="4"/>
      <c r="C13" s="4"/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6"/>
      <c r="O13" s="6"/>
      <c r="P13" s="6"/>
    </row>
    <row r="14" spans="1:19" ht="21" x14ac:dyDescent="0.4">
      <c r="A14" s="4" t="s">
        <v>19</v>
      </c>
      <c r="B14" s="4"/>
      <c r="C14" s="4"/>
      <c r="D14" s="4">
        <v>0</v>
      </c>
      <c r="E14" s="4">
        <v>0</v>
      </c>
      <c r="F14" s="4">
        <v>0</v>
      </c>
      <c r="G14" s="4">
        <v>0</v>
      </c>
      <c r="H14" s="12">
        <v>468000</v>
      </c>
      <c r="I14" s="12">
        <v>468000</v>
      </c>
      <c r="J14" s="12">
        <v>561600</v>
      </c>
      <c r="K14" s="12">
        <v>1111500</v>
      </c>
      <c r="L14" s="12">
        <v>2346480</v>
      </c>
      <c r="M14" s="12">
        <v>2346480</v>
      </c>
      <c r="N14" s="12"/>
      <c r="O14" s="6"/>
      <c r="P14" s="6"/>
    </row>
    <row r="15" spans="1:19" ht="21" x14ac:dyDescent="0.4">
      <c r="A15" s="4" t="s">
        <v>25</v>
      </c>
      <c r="B15" s="4"/>
      <c r="C15" s="4"/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12"/>
      <c r="O15" s="6"/>
      <c r="P15" s="6"/>
    </row>
    <row r="16" spans="1:19" ht="21" x14ac:dyDescent="0.4">
      <c r="A16" s="4" t="s">
        <v>26</v>
      </c>
      <c r="B16" s="4"/>
      <c r="C16" s="4"/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6"/>
      <c r="O16" s="6"/>
      <c r="P16" s="6"/>
    </row>
    <row r="17" spans="1:19" ht="21" x14ac:dyDescent="0.4">
      <c r="A17" s="4"/>
      <c r="B17" s="4"/>
      <c r="C17" s="4"/>
      <c r="D17" s="12"/>
      <c r="E17" s="12"/>
      <c r="F17" s="12"/>
      <c r="G17" s="12"/>
      <c r="H17" s="12"/>
      <c r="I17" s="12"/>
      <c r="J17" s="12"/>
      <c r="K17" s="12"/>
      <c r="L17" s="10"/>
      <c r="M17" s="6"/>
      <c r="N17" s="6"/>
      <c r="O17" s="6"/>
      <c r="P17" s="6"/>
    </row>
    <row r="18" spans="1:19" ht="21" x14ac:dyDescent="0.4">
      <c r="A18" s="21" t="s">
        <v>17</v>
      </c>
      <c r="B18" s="21"/>
      <c r="C18" s="13"/>
      <c r="D18" s="13">
        <f>SUM(D9:D17)</f>
        <v>2651000</v>
      </c>
      <c r="E18" s="13">
        <f t="shared" ref="E18:M18" si="0">SUM(E9:E17)</f>
        <v>5130000</v>
      </c>
      <c r="F18" s="13">
        <f t="shared" si="0"/>
        <v>7959600</v>
      </c>
      <c r="G18" s="13">
        <f t="shared" si="0"/>
        <v>10946800</v>
      </c>
      <c r="H18" s="13">
        <f t="shared" si="0"/>
        <v>13147600</v>
      </c>
      <c r="I18" s="13">
        <f t="shared" si="0"/>
        <v>14830400</v>
      </c>
      <c r="J18" s="13">
        <f t="shared" si="0"/>
        <v>16203000</v>
      </c>
      <c r="K18" s="13">
        <f t="shared" si="0"/>
        <v>17925500</v>
      </c>
      <c r="L18" s="13">
        <f t="shared" si="0"/>
        <v>19430480</v>
      </c>
      <c r="M18" s="13">
        <f t="shared" si="0"/>
        <v>19490480</v>
      </c>
      <c r="N18" s="6"/>
      <c r="O18" s="6"/>
      <c r="P18" s="6"/>
    </row>
    <row r="19" spans="1:19" ht="21" x14ac:dyDescent="0.4">
      <c r="A19" s="4"/>
      <c r="B19" s="4"/>
      <c r="C19" s="4"/>
      <c r="D19" s="12"/>
      <c r="E19" s="12"/>
      <c r="F19" s="12"/>
      <c r="G19" s="12"/>
      <c r="H19" s="12"/>
      <c r="I19" s="12"/>
      <c r="J19" s="12"/>
      <c r="K19" s="12"/>
      <c r="L19" s="10"/>
      <c r="M19" s="6"/>
      <c r="N19" s="6"/>
      <c r="O19" s="6"/>
      <c r="P19" s="6"/>
    </row>
    <row r="20" spans="1:19" ht="21" x14ac:dyDescent="0.4">
      <c r="A20" s="11" t="s">
        <v>9</v>
      </c>
      <c r="B20" s="11"/>
      <c r="C20" s="11"/>
      <c r="D20" s="12"/>
      <c r="E20" s="12"/>
      <c r="F20" s="12"/>
      <c r="G20" s="12"/>
      <c r="H20" s="12"/>
      <c r="I20" s="12"/>
      <c r="J20" s="12"/>
      <c r="K20" s="12"/>
      <c r="L20" s="10"/>
      <c r="M20" s="6"/>
      <c r="N20" s="6"/>
      <c r="O20" s="6"/>
      <c r="P20" s="6"/>
    </row>
    <row r="21" spans="1:19" ht="21" x14ac:dyDescent="0.4">
      <c r="A21" s="4"/>
      <c r="B21" s="4"/>
      <c r="C21" s="4"/>
      <c r="D21" s="12"/>
      <c r="E21" s="12"/>
      <c r="F21" s="12"/>
      <c r="G21" s="12"/>
      <c r="H21" s="12"/>
      <c r="I21" s="12"/>
      <c r="J21" s="12"/>
      <c r="K21" s="12"/>
      <c r="L21" s="10"/>
      <c r="M21" s="6"/>
      <c r="N21" s="6"/>
      <c r="O21" s="6"/>
      <c r="P21" s="6"/>
    </row>
    <row r="22" spans="1:19" ht="21" x14ac:dyDescent="0.4">
      <c r="A22" s="4" t="s">
        <v>35</v>
      </c>
      <c r="B22" s="4"/>
      <c r="C22" s="4"/>
      <c r="D22" s="12">
        <f t="shared" ref="D22:M22" si="1">D11*2</f>
        <v>260000</v>
      </c>
      <c r="E22" s="12">
        <f t="shared" si="1"/>
        <v>480000</v>
      </c>
      <c r="F22" s="12">
        <f t="shared" si="1"/>
        <v>660000</v>
      </c>
      <c r="G22" s="12">
        <f t="shared" si="1"/>
        <v>820000</v>
      </c>
      <c r="H22" s="12">
        <f t="shared" si="1"/>
        <v>960000</v>
      </c>
      <c r="I22" s="12">
        <f t="shared" si="1"/>
        <v>1120000</v>
      </c>
      <c r="J22" s="12">
        <f t="shared" si="1"/>
        <v>1300000</v>
      </c>
      <c r="K22" s="12">
        <f t="shared" si="1"/>
        <v>1560000</v>
      </c>
      <c r="L22" s="12">
        <f t="shared" si="1"/>
        <v>1560000</v>
      </c>
      <c r="M22" s="12">
        <f t="shared" si="1"/>
        <v>1560000</v>
      </c>
      <c r="N22" s="6"/>
      <c r="O22" s="6"/>
      <c r="P22" s="6"/>
    </row>
    <row r="23" spans="1:19" ht="21" x14ac:dyDescent="0.4">
      <c r="A23" s="4" t="s">
        <v>116</v>
      </c>
      <c r="B23" s="4"/>
      <c r="C23" s="4"/>
      <c r="D23" s="12">
        <f>D12*0.6</f>
        <v>180000</v>
      </c>
      <c r="E23" s="12">
        <f t="shared" ref="E23:M23" si="2">E12*0.6</f>
        <v>315000</v>
      </c>
      <c r="F23" s="12">
        <f t="shared" si="2"/>
        <v>450000</v>
      </c>
      <c r="G23" s="12">
        <f t="shared" si="2"/>
        <v>540000</v>
      </c>
      <c r="H23" s="12">
        <f t="shared" si="2"/>
        <v>630000</v>
      </c>
      <c r="I23" s="12">
        <f t="shared" si="2"/>
        <v>684000</v>
      </c>
      <c r="J23" s="12">
        <f t="shared" si="2"/>
        <v>747000</v>
      </c>
      <c r="K23" s="12">
        <f t="shared" si="2"/>
        <v>810000</v>
      </c>
      <c r="L23" s="12">
        <f t="shared" si="2"/>
        <v>864000</v>
      </c>
      <c r="M23" s="12">
        <f t="shared" si="2"/>
        <v>900000</v>
      </c>
      <c r="N23" s="6"/>
      <c r="O23" s="6"/>
      <c r="P23" s="6"/>
    </row>
    <row r="24" spans="1:19" ht="21" x14ac:dyDescent="0.4">
      <c r="A24" s="4" t="s">
        <v>36</v>
      </c>
      <c r="B24" s="4"/>
      <c r="C24" s="4"/>
      <c r="D24" s="12">
        <v>61880</v>
      </c>
      <c r="E24" s="12">
        <v>141344</v>
      </c>
      <c r="F24" s="12">
        <v>225820</v>
      </c>
      <c r="G24" s="12">
        <v>323204</v>
      </c>
      <c r="H24" s="12">
        <v>352884</v>
      </c>
      <c r="I24" s="12">
        <v>396732</v>
      </c>
      <c r="J24" s="12">
        <v>426608</v>
      </c>
      <c r="K24" s="12">
        <v>453404</v>
      </c>
      <c r="L24" s="12">
        <v>453404</v>
      </c>
      <c r="M24" s="12">
        <v>453404</v>
      </c>
      <c r="N24" s="6"/>
      <c r="O24" s="6"/>
      <c r="P24" s="6"/>
      <c r="Q24" s="1"/>
      <c r="R24" s="1"/>
      <c r="S24" s="1"/>
    </row>
    <row r="25" spans="1:19" ht="24" customHeight="1" x14ac:dyDescent="0.4">
      <c r="A25" s="4" t="s">
        <v>37</v>
      </c>
      <c r="B25" s="4"/>
      <c r="C25" s="4"/>
      <c r="D25" s="12">
        <v>176800</v>
      </c>
      <c r="E25" s="12">
        <v>403840</v>
      </c>
      <c r="F25" s="12">
        <v>645200</v>
      </c>
      <c r="G25" s="12">
        <v>923440</v>
      </c>
      <c r="H25" s="12">
        <v>1008240</v>
      </c>
      <c r="I25" s="12">
        <v>1133520</v>
      </c>
      <c r="J25" s="12">
        <v>1218880</v>
      </c>
      <c r="K25" s="12">
        <v>1295440</v>
      </c>
      <c r="L25" s="12">
        <v>1295440</v>
      </c>
      <c r="M25" s="12">
        <v>1295440</v>
      </c>
      <c r="N25" s="6"/>
      <c r="O25" s="6"/>
      <c r="P25" s="6"/>
      <c r="Q25" s="1"/>
      <c r="R25" s="1"/>
      <c r="S25" s="1"/>
    </row>
    <row r="26" spans="1:19" ht="24" customHeight="1" x14ac:dyDescent="0.35">
      <c r="A26" s="4" t="s">
        <v>38</v>
      </c>
      <c r="B26" s="4"/>
      <c r="C26" s="4"/>
      <c r="D26" s="12">
        <f>35600*1.2</f>
        <v>42720</v>
      </c>
      <c r="E26" s="12">
        <f>55000*1.2</f>
        <v>66000</v>
      </c>
      <c r="F26" s="12">
        <f>74400*1.2</f>
        <v>89280</v>
      </c>
      <c r="G26" s="12">
        <f>93600*1.2</f>
        <v>112320</v>
      </c>
      <c r="H26" s="12">
        <f>93600*1.2</f>
        <v>112320</v>
      </c>
      <c r="I26" s="12">
        <f>104000*1.2</f>
        <v>124800</v>
      </c>
      <c r="J26" s="12">
        <f>104000*1.2</f>
        <v>124800</v>
      </c>
      <c r="K26" s="12">
        <f>109200*1.2</f>
        <v>131040</v>
      </c>
      <c r="L26" s="12">
        <f>114400*1.2</f>
        <v>137280</v>
      </c>
      <c r="M26" s="12">
        <f>114400*1.2</f>
        <v>137280</v>
      </c>
      <c r="N26" s="6"/>
      <c r="O26" s="6"/>
      <c r="P26" s="6"/>
      <c r="Q26" s="1"/>
      <c r="R26" s="1"/>
      <c r="S26" s="1"/>
    </row>
    <row r="27" spans="1:19" ht="24" customHeight="1" x14ac:dyDescent="0.4">
      <c r="A27" s="4" t="s">
        <v>39</v>
      </c>
      <c r="B27" s="4"/>
      <c r="C27" s="4"/>
      <c r="D27" s="12">
        <v>0</v>
      </c>
      <c r="E27" s="12">
        <v>0</v>
      </c>
      <c r="F27" s="12">
        <v>0</v>
      </c>
      <c r="G27" s="12">
        <v>0</v>
      </c>
      <c r="H27" s="12">
        <v>60000</v>
      </c>
      <c r="I27" s="12">
        <v>60000</v>
      </c>
      <c r="J27" s="12">
        <v>60000</v>
      </c>
      <c r="K27" s="12">
        <v>200000</v>
      </c>
      <c r="L27" s="12">
        <v>440000</v>
      </c>
      <c r="M27" s="12">
        <v>440000</v>
      </c>
      <c r="N27" s="6"/>
      <c r="O27" s="6"/>
      <c r="P27" s="6"/>
      <c r="Q27" s="1"/>
      <c r="R27" s="1"/>
      <c r="S27" s="1"/>
    </row>
    <row r="28" spans="1:19" ht="21" x14ac:dyDescent="0.4">
      <c r="A28" s="4"/>
      <c r="B28" s="4"/>
      <c r="C28" s="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6"/>
      <c r="O28" s="6"/>
      <c r="P28" s="6"/>
    </row>
    <row r="29" spans="1:19" ht="21" x14ac:dyDescent="0.4">
      <c r="A29" s="21" t="s">
        <v>20</v>
      </c>
      <c r="B29" s="21"/>
      <c r="C29" s="13"/>
      <c r="D29" s="13">
        <f t="shared" ref="D29:M29" si="3">SUM(D22:D28)</f>
        <v>721400</v>
      </c>
      <c r="E29" s="13">
        <f t="shared" si="3"/>
        <v>1406184</v>
      </c>
      <c r="F29" s="13">
        <f t="shared" si="3"/>
        <v>2070300</v>
      </c>
      <c r="G29" s="13">
        <f t="shared" si="3"/>
        <v>2718964</v>
      </c>
      <c r="H29" s="13">
        <f t="shared" si="3"/>
        <v>3123444</v>
      </c>
      <c r="I29" s="13">
        <f t="shared" si="3"/>
        <v>3519052</v>
      </c>
      <c r="J29" s="13">
        <f t="shared" si="3"/>
        <v>3877288</v>
      </c>
      <c r="K29" s="13">
        <f t="shared" si="3"/>
        <v>4449884</v>
      </c>
      <c r="L29" s="13">
        <f t="shared" si="3"/>
        <v>4750124</v>
      </c>
      <c r="M29" s="13">
        <f t="shared" si="3"/>
        <v>4786124</v>
      </c>
      <c r="N29" s="6"/>
      <c r="O29" s="6"/>
      <c r="P29" s="6"/>
    </row>
    <row r="30" spans="1:19" ht="21" x14ac:dyDescent="0.4">
      <c r="A30" s="4"/>
      <c r="B30" s="4"/>
      <c r="C30" s="12"/>
      <c r="D30" s="12"/>
      <c r="E30" s="12"/>
      <c r="F30" s="12"/>
      <c r="G30" s="12"/>
      <c r="H30" s="12"/>
      <c r="I30" s="12"/>
      <c r="J30" s="12"/>
      <c r="K30" s="12"/>
      <c r="L30" s="10"/>
      <c r="M30" s="6"/>
      <c r="N30" s="6"/>
      <c r="O30" s="6"/>
      <c r="P30" s="6"/>
    </row>
    <row r="31" spans="1:19" ht="21" x14ac:dyDescent="0.4">
      <c r="A31" s="11" t="s">
        <v>10</v>
      </c>
      <c r="B31" s="111"/>
      <c r="C31" s="14"/>
      <c r="D31" s="14">
        <f t="shared" ref="D31:M31" si="4">D18-D29</f>
        <v>1929600</v>
      </c>
      <c r="E31" s="14">
        <f t="shared" si="4"/>
        <v>3723816</v>
      </c>
      <c r="F31" s="14">
        <f t="shared" si="4"/>
        <v>5889300</v>
      </c>
      <c r="G31" s="14">
        <f t="shared" si="4"/>
        <v>8227836</v>
      </c>
      <c r="H31" s="14">
        <f t="shared" si="4"/>
        <v>10024156</v>
      </c>
      <c r="I31" s="14">
        <f t="shared" si="4"/>
        <v>11311348</v>
      </c>
      <c r="J31" s="14">
        <f t="shared" si="4"/>
        <v>12325712</v>
      </c>
      <c r="K31" s="14">
        <f t="shared" si="4"/>
        <v>13475616</v>
      </c>
      <c r="L31" s="14">
        <f t="shared" si="4"/>
        <v>14680356</v>
      </c>
      <c r="M31" s="14">
        <f t="shared" si="4"/>
        <v>14704356</v>
      </c>
      <c r="N31" s="6"/>
      <c r="O31" s="6"/>
      <c r="P31" s="6"/>
    </row>
    <row r="32" spans="1:19" ht="21" x14ac:dyDescent="0.4">
      <c r="A32" s="4"/>
      <c r="B32" s="4"/>
      <c r="C32" s="4"/>
      <c r="D32" s="12"/>
      <c r="E32" s="12"/>
      <c r="F32" s="12"/>
      <c r="G32" s="12"/>
      <c r="H32" s="12"/>
      <c r="I32" s="12"/>
      <c r="J32" s="12"/>
      <c r="K32" s="12"/>
      <c r="L32" s="10"/>
      <c r="M32" s="6"/>
      <c r="N32" s="6"/>
      <c r="O32" s="6"/>
      <c r="P32" s="6"/>
    </row>
    <row r="33" spans="1:16" ht="21" x14ac:dyDescent="0.4">
      <c r="A33" s="4"/>
      <c r="B33" s="4"/>
      <c r="C33" s="4"/>
      <c r="D33" s="12"/>
      <c r="E33" s="12"/>
      <c r="F33" s="12"/>
      <c r="G33" s="12"/>
      <c r="H33" s="12"/>
      <c r="I33" s="12"/>
      <c r="J33" s="12"/>
      <c r="K33" s="12"/>
      <c r="L33" s="10"/>
      <c r="M33" s="6"/>
      <c r="N33" s="6"/>
      <c r="O33" s="6"/>
      <c r="P33" s="6"/>
    </row>
    <row r="34" spans="1:16" ht="21" x14ac:dyDescent="0.4">
      <c r="A34" s="4" t="s">
        <v>40</v>
      </c>
      <c r="B34" s="4"/>
      <c r="C34" s="4"/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6"/>
      <c r="O34" s="6"/>
      <c r="P34" s="6"/>
    </row>
    <row r="35" spans="1:16" ht="21" x14ac:dyDescent="0.4">
      <c r="A35" s="4" t="s">
        <v>41</v>
      </c>
      <c r="B35" s="4"/>
      <c r="C35" s="4"/>
      <c r="D35" s="15">
        <v>385000</v>
      </c>
      <c r="E35" s="15">
        <f>D35*1.3</f>
        <v>500500</v>
      </c>
      <c r="F35" s="15">
        <f>E35*1.1</f>
        <v>550550</v>
      </c>
      <c r="G35" s="15">
        <f>F35*1.05</f>
        <v>578077.5</v>
      </c>
      <c r="H35" s="15">
        <f>G35*1.02</f>
        <v>589639.05000000005</v>
      </c>
      <c r="I35" s="15">
        <f>H35*1.02</f>
        <v>601431.83100000001</v>
      </c>
      <c r="J35" s="15">
        <f>I35*1.02</f>
        <v>613460.46762000001</v>
      </c>
      <c r="K35" s="15">
        <f>J35*1.02</f>
        <v>625729.67697240005</v>
      </c>
      <c r="L35" s="15">
        <f t="shared" ref="L35:L45" si="5">K35*1.02</f>
        <v>638244.27051184804</v>
      </c>
      <c r="M35" s="15">
        <v>638244.27051184804</v>
      </c>
      <c r="N35" s="6"/>
      <c r="O35" s="6"/>
      <c r="P35" s="6"/>
    </row>
    <row r="36" spans="1:16" ht="21" x14ac:dyDescent="0.4">
      <c r="A36" s="4" t="s">
        <v>42</v>
      </c>
      <c r="B36" s="4"/>
      <c r="C36" s="4"/>
      <c r="D36" s="15">
        <v>150000</v>
      </c>
      <c r="E36" s="15">
        <f t="shared" ref="E36:E40" si="6">D36*1.05</f>
        <v>157500</v>
      </c>
      <c r="F36" s="15">
        <f t="shared" ref="F36:F40" si="7">E36*1.1</f>
        <v>173250</v>
      </c>
      <c r="G36" s="15">
        <f t="shared" ref="G36:G45" si="8">F36*1.05</f>
        <v>181912.5</v>
      </c>
      <c r="H36" s="15">
        <f t="shared" ref="H36:K36" si="9">G36*1.02</f>
        <v>185550.75</v>
      </c>
      <c r="I36" s="15">
        <f t="shared" si="9"/>
        <v>189261.76500000001</v>
      </c>
      <c r="J36" s="15">
        <f t="shared" si="9"/>
        <v>193047.00030000001</v>
      </c>
      <c r="K36" s="15">
        <f t="shared" si="9"/>
        <v>196907.940306</v>
      </c>
      <c r="L36" s="15">
        <f t="shared" si="5"/>
        <v>200846.09911212002</v>
      </c>
      <c r="M36" s="15">
        <v>200846.09911212002</v>
      </c>
      <c r="N36" s="6"/>
      <c r="O36" s="6"/>
      <c r="P36" s="6"/>
    </row>
    <row r="37" spans="1:16" ht="21" x14ac:dyDescent="0.4">
      <c r="A37" s="4" t="s">
        <v>43</v>
      </c>
      <c r="B37" s="4"/>
      <c r="C37" s="4"/>
      <c r="D37" s="15">
        <v>50000</v>
      </c>
      <c r="E37" s="15">
        <f>D37*1.5</f>
        <v>75000</v>
      </c>
      <c r="F37" s="15">
        <f>E37*1.2</f>
        <v>90000</v>
      </c>
      <c r="G37" s="15">
        <f t="shared" ref="G37" si="10">F37*1.05</f>
        <v>94500</v>
      </c>
      <c r="H37" s="15">
        <f t="shared" ref="H37" si="11">G37*1.02</f>
        <v>96390</v>
      </c>
      <c r="I37" s="15">
        <f t="shared" ref="I37" si="12">H37*1.02</f>
        <v>98317.8</v>
      </c>
      <c r="J37" s="15">
        <f t="shared" ref="J37" si="13">I37*1.02</f>
        <v>100284.156</v>
      </c>
      <c r="K37" s="15">
        <f t="shared" ref="K37" si="14">J37*1.02</f>
        <v>102289.83912</v>
      </c>
      <c r="L37" s="15">
        <f t="shared" si="5"/>
        <v>104335.63590240001</v>
      </c>
      <c r="M37" s="15">
        <v>104335.63590240001</v>
      </c>
      <c r="N37" s="6"/>
      <c r="O37" s="6"/>
      <c r="P37" s="6"/>
    </row>
    <row r="38" spans="1:16" ht="21" x14ac:dyDescent="0.4">
      <c r="A38" s="4" t="s">
        <v>44</v>
      </c>
      <c r="B38" s="4"/>
      <c r="C38" s="4"/>
      <c r="D38" s="15">
        <v>120000</v>
      </c>
      <c r="E38" s="15">
        <f t="shared" si="6"/>
        <v>126000</v>
      </c>
      <c r="F38" s="15">
        <f t="shared" si="7"/>
        <v>138600</v>
      </c>
      <c r="G38" s="15">
        <f t="shared" si="8"/>
        <v>145530</v>
      </c>
      <c r="H38" s="15">
        <f t="shared" ref="H38:K38" si="15">G38*1.02</f>
        <v>148440.6</v>
      </c>
      <c r="I38" s="15">
        <f t="shared" si="15"/>
        <v>151409.41200000001</v>
      </c>
      <c r="J38" s="15">
        <f t="shared" si="15"/>
        <v>154437.60024</v>
      </c>
      <c r="K38" s="15">
        <f t="shared" si="15"/>
        <v>157526.35224480001</v>
      </c>
      <c r="L38" s="15">
        <f t="shared" si="5"/>
        <v>160676.87928969602</v>
      </c>
      <c r="M38" s="15">
        <v>160676.87928969602</v>
      </c>
      <c r="N38" s="6"/>
      <c r="O38" s="6"/>
      <c r="P38" s="6"/>
    </row>
    <row r="39" spans="1:16" ht="21" x14ac:dyDescent="0.4">
      <c r="A39" s="4" t="s">
        <v>45</v>
      </c>
      <c r="B39" s="4"/>
      <c r="C39" s="4"/>
      <c r="D39" s="15">
        <v>234000</v>
      </c>
      <c r="E39" s="15">
        <f>D39*1.5</f>
        <v>351000</v>
      </c>
      <c r="F39" s="15">
        <f>E39*1.3</f>
        <v>456300</v>
      </c>
      <c r="G39" s="15">
        <f t="shared" si="8"/>
        <v>479115</v>
      </c>
      <c r="H39" s="15">
        <f t="shared" ref="H39:K39" si="16">G39*1.02</f>
        <v>488697.3</v>
      </c>
      <c r="I39" s="15">
        <f t="shared" si="16"/>
        <v>498471.24599999998</v>
      </c>
      <c r="J39" s="15">
        <f t="shared" si="16"/>
        <v>508440.67092</v>
      </c>
      <c r="K39" s="15">
        <f t="shared" si="16"/>
        <v>518609.48433840001</v>
      </c>
      <c r="L39" s="15">
        <f t="shared" si="5"/>
        <v>528981.67402516806</v>
      </c>
      <c r="M39" s="15">
        <v>528981.67402516806</v>
      </c>
      <c r="N39" s="6"/>
      <c r="O39" s="6"/>
      <c r="P39" s="6"/>
    </row>
    <row r="40" spans="1:16" ht="21" x14ac:dyDescent="0.4">
      <c r="A40" s="4" t="s">
        <v>96</v>
      </c>
      <c r="B40" s="4"/>
      <c r="C40" s="4"/>
      <c r="D40" s="15">
        <v>45000</v>
      </c>
      <c r="E40" s="15">
        <f t="shared" si="6"/>
        <v>47250</v>
      </c>
      <c r="F40" s="15">
        <f t="shared" si="7"/>
        <v>51975.000000000007</v>
      </c>
      <c r="G40" s="15">
        <f t="shared" si="8"/>
        <v>54573.750000000007</v>
      </c>
      <c r="H40" s="15">
        <f t="shared" ref="H40:K40" si="17">G40*1.02</f>
        <v>55665.225000000006</v>
      </c>
      <c r="I40" s="15">
        <f t="shared" si="17"/>
        <v>56778.529500000004</v>
      </c>
      <c r="J40" s="15">
        <f t="shared" si="17"/>
        <v>57914.100090000007</v>
      </c>
      <c r="K40" s="15">
        <f t="shared" si="17"/>
        <v>59072.382091800006</v>
      </c>
      <c r="L40" s="15">
        <f t="shared" si="5"/>
        <v>60253.829733636005</v>
      </c>
      <c r="M40" s="15">
        <v>60253.829733636005</v>
      </c>
      <c r="N40" s="6"/>
      <c r="O40" s="6"/>
      <c r="P40" s="6"/>
    </row>
    <row r="41" spans="1:16" ht="21" x14ac:dyDescent="0.35">
      <c r="A41" s="4" t="s">
        <v>95</v>
      </c>
      <c r="B41" s="4"/>
      <c r="C41" s="4"/>
      <c r="D41" s="15">
        <v>80000</v>
      </c>
      <c r="E41" s="15">
        <f>D41*1.4</f>
        <v>112000</v>
      </c>
      <c r="F41" s="15">
        <f>E41*1.2</f>
        <v>134400</v>
      </c>
      <c r="G41" s="15">
        <f t="shared" si="8"/>
        <v>141120</v>
      </c>
      <c r="H41" s="15">
        <f t="shared" ref="H41:K41" si="18">G41*1.02</f>
        <v>143942.39999999999</v>
      </c>
      <c r="I41" s="15">
        <f t="shared" si="18"/>
        <v>146821.24799999999</v>
      </c>
      <c r="J41" s="15">
        <f t="shared" si="18"/>
        <v>149757.67296</v>
      </c>
      <c r="K41" s="15">
        <f t="shared" si="18"/>
        <v>152752.82641919999</v>
      </c>
      <c r="L41" s="15">
        <f t="shared" si="5"/>
        <v>155807.882947584</v>
      </c>
      <c r="M41" s="15">
        <v>155807.882947584</v>
      </c>
      <c r="N41" s="6"/>
      <c r="O41" s="6"/>
      <c r="P41" s="6"/>
    </row>
    <row r="42" spans="1:16" ht="21" x14ac:dyDescent="0.35">
      <c r="A42" s="4" t="s">
        <v>46</v>
      </c>
      <c r="B42" s="4"/>
      <c r="C42" s="4"/>
      <c r="D42" s="15">
        <v>50000</v>
      </c>
      <c r="E42" s="15">
        <f>D42*1.5</f>
        <v>75000</v>
      </c>
      <c r="F42" s="15">
        <f>E42*1.2</f>
        <v>90000</v>
      </c>
      <c r="G42" s="15">
        <f t="shared" si="8"/>
        <v>94500</v>
      </c>
      <c r="H42" s="15">
        <f t="shared" ref="H42:K42" si="19">G42*1.02</f>
        <v>96390</v>
      </c>
      <c r="I42" s="15">
        <f t="shared" si="19"/>
        <v>98317.8</v>
      </c>
      <c r="J42" s="15">
        <f t="shared" si="19"/>
        <v>100284.156</v>
      </c>
      <c r="K42" s="15">
        <f t="shared" si="19"/>
        <v>102289.83912</v>
      </c>
      <c r="L42" s="15">
        <f t="shared" si="5"/>
        <v>104335.63590240001</v>
      </c>
      <c r="M42" s="15">
        <v>104335.63590240001</v>
      </c>
      <c r="N42" s="6"/>
      <c r="O42" s="6"/>
      <c r="P42" s="6"/>
    </row>
    <row r="43" spans="1:16" ht="21" x14ac:dyDescent="0.4">
      <c r="A43" s="4" t="s">
        <v>47</v>
      </c>
      <c r="B43" s="4"/>
      <c r="C43" s="4"/>
      <c r="D43" s="15">
        <v>265000</v>
      </c>
      <c r="E43" s="15">
        <f>D43*1.5</f>
        <v>397500</v>
      </c>
      <c r="F43" s="15">
        <f>E43*1.2</f>
        <v>477000</v>
      </c>
      <c r="G43" s="15">
        <f t="shared" si="8"/>
        <v>500850</v>
      </c>
      <c r="H43" s="15">
        <f t="shared" ref="H43:K43" si="20">G43*1.02</f>
        <v>510867</v>
      </c>
      <c r="I43" s="15">
        <f t="shared" si="20"/>
        <v>521084.34</v>
      </c>
      <c r="J43" s="15">
        <f t="shared" si="20"/>
        <v>531506.02679999999</v>
      </c>
      <c r="K43" s="15">
        <f t="shared" si="20"/>
        <v>542136.14733599999</v>
      </c>
      <c r="L43" s="15">
        <f t="shared" si="5"/>
        <v>552978.87028271996</v>
      </c>
      <c r="M43" s="15">
        <v>552978.87028271996</v>
      </c>
      <c r="N43" s="6"/>
      <c r="O43" s="6"/>
      <c r="P43" s="6"/>
    </row>
    <row r="44" spans="1:16" ht="21" x14ac:dyDescent="0.4">
      <c r="A44" s="4" t="s">
        <v>48</v>
      </c>
      <c r="B44" s="4"/>
      <c r="C44" s="4"/>
      <c r="D44" s="15">
        <v>120000</v>
      </c>
      <c r="E44" s="15">
        <f>D44*1.5</f>
        <v>180000</v>
      </c>
      <c r="F44" s="15">
        <f>E44*1.2</f>
        <v>216000</v>
      </c>
      <c r="G44" s="15">
        <f t="shared" si="8"/>
        <v>226800</v>
      </c>
      <c r="H44" s="15">
        <f t="shared" ref="H44:K45" si="21">G44*1.02</f>
        <v>231336</v>
      </c>
      <c r="I44" s="15">
        <f t="shared" si="21"/>
        <v>235962.72</v>
      </c>
      <c r="J44" s="15">
        <f t="shared" si="21"/>
        <v>240681.97440000001</v>
      </c>
      <c r="K44" s="15">
        <f t="shared" si="21"/>
        <v>245495.61388800002</v>
      </c>
      <c r="L44" s="15">
        <f t="shared" si="5"/>
        <v>250405.52616576003</v>
      </c>
      <c r="M44" s="15">
        <v>250405.52616576003</v>
      </c>
      <c r="N44" s="6"/>
      <c r="O44" s="6"/>
      <c r="P44" s="6"/>
    </row>
    <row r="45" spans="1:16" ht="21" x14ac:dyDescent="0.4">
      <c r="A45" s="4" t="s">
        <v>49</v>
      </c>
      <c r="B45" s="4"/>
      <c r="C45" s="4"/>
      <c r="D45" s="15">
        <v>85000</v>
      </c>
      <c r="E45" s="15">
        <f>D45*1.5</f>
        <v>127500</v>
      </c>
      <c r="F45" s="15">
        <f>E45*1.2</f>
        <v>153000</v>
      </c>
      <c r="G45" s="15">
        <f t="shared" si="8"/>
        <v>160650</v>
      </c>
      <c r="H45" s="15">
        <f t="shared" si="21"/>
        <v>163863</v>
      </c>
      <c r="I45" s="15">
        <f t="shared" si="21"/>
        <v>167140.26</v>
      </c>
      <c r="J45" s="15">
        <f t="shared" si="21"/>
        <v>170483.06520000001</v>
      </c>
      <c r="K45" s="15">
        <f t="shared" si="21"/>
        <v>173892.72650400002</v>
      </c>
      <c r="L45" s="15">
        <f t="shared" si="5"/>
        <v>177370.58103408004</v>
      </c>
      <c r="M45" s="15">
        <v>177370.58103408004</v>
      </c>
      <c r="N45" s="6"/>
      <c r="O45" s="6"/>
      <c r="P45" s="6"/>
    </row>
    <row r="46" spans="1:16" ht="21" x14ac:dyDescent="0.35">
      <c r="A46" s="4" t="s">
        <v>50</v>
      </c>
      <c r="B46" s="4"/>
      <c r="C46" s="4"/>
      <c r="D46" s="15">
        <v>1288850</v>
      </c>
      <c r="E46" s="15">
        <v>1685328</v>
      </c>
      <c r="F46" s="15">
        <v>1968824</v>
      </c>
      <c r="G46" s="15">
        <v>2077054</v>
      </c>
      <c r="H46" s="15">
        <v>2224771</v>
      </c>
      <c r="I46" s="15">
        <v>2243078</v>
      </c>
      <c r="J46" s="15">
        <v>2325941</v>
      </c>
      <c r="K46" s="15">
        <v>2421233</v>
      </c>
      <c r="L46" s="15">
        <v>2649000</v>
      </c>
      <c r="M46" s="15">
        <v>2649000</v>
      </c>
      <c r="N46" s="6"/>
      <c r="O46" s="6"/>
      <c r="P46" s="6"/>
    </row>
    <row r="47" spans="1:16" ht="21" x14ac:dyDescent="0.4">
      <c r="A47" s="4" t="s">
        <v>51</v>
      </c>
      <c r="B47" s="4"/>
      <c r="C47" s="4"/>
      <c r="D47" s="15">
        <v>200000</v>
      </c>
      <c r="E47" s="15">
        <f>D47*1.1</f>
        <v>220000.00000000003</v>
      </c>
      <c r="F47" s="15">
        <f>E47*1.1</f>
        <v>242000.00000000006</v>
      </c>
      <c r="G47" s="15">
        <f t="shared" ref="G47" si="22">F47*1.05</f>
        <v>254100.00000000006</v>
      </c>
      <c r="H47" s="15">
        <f t="shared" ref="H47" si="23">G47*1.02</f>
        <v>259182.00000000006</v>
      </c>
      <c r="I47" s="15">
        <f t="shared" ref="I47" si="24">H47*1.02</f>
        <v>264365.64000000007</v>
      </c>
      <c r="J47" s="15">
        <f t="shared" ref="J47" si="25">I47*1.02</f>
        <v>269652.95280000009</v>
      </c>
      <c r="K47" s="15">
        <f t="shared" ref="K47" si="26">J47*1.02</f>
        <v>275046.01185600011</v>
      </c>
      <c r="L47" s="15">
        <f t="shared" ref="L47:L48" si="27">K47*1.02</f>
        <v>280546.93209312012</v>
      </c>
      <c r="M47" s="15">
        <v>280546.93209312012</v>
      </c>
      <c r="N47" s="6"/>
      <c r="O47" s="6"/>
      <c r="P47" s="6"/>
    </row>
    <row r="48" spans="1:16" ht="21" x14ac:dyDescent="0.4">
      <c r="A48" s="4" t="s">
        <v>52</v>
      </c>
      <c r="B48" s="4"/>
      <c r="C48" s="4"/>
      <c r="D48" s="15">
        <v>650000</v>
      </c>
      <c r="E48" s="15">
        <f>D48*1.05</f>
        <v>682500</v>
      </c>
      <c r="F48" s="15">
        <f>E48*1.1</f>
        <v>750750.00000000012</v>
      </c>
      <c r="G48" s="15">
        <f>F48*1.05</f>
        <v>788287.50000000012</v>
      </c>
      <c r="H48" s="15">
        <f>G48*1.02</f>
        <v>804053.25000000012</v>
      </c>
      <c r="I48" s="15">
        <f>H48*1.02</f>
        <v>820134.31500000018</v>
      </c>
      <c r="J48" s="15">
        <f>I48*1.02</f>
        <v>836537.00130000024</v>
      </c>
      <c r="K48" s="15">
        <f>J48*1.02</f>
        <v>853267.74132600031</v>
      </c>
      <c r="L48" s="15">
        <f t="shared" si="27"/>
        <v>870333.09615252027</v>
      </c>
      <c r="M48" s="15">
        <v>870333.09615252027</v>
      </c>
      <c r="N48" s="6"/>
      <c r="O48" s="6"/>
      <c r="P48" s="6"/>
    </row>
    <row r="49" spans="1:16" ht="21" x14ac:dyDescent="0.4">
      <c r="A49" s="4"/>
      <c r="B49" s="4"/>
      <c r="C49" s="4"/>
      <c r="D49" s="15"/>
      <c r="E49" s="15"/>
      <c r="F49" s="15"/>
      <c r="G49" s="15"/>
      <c r="H49" s="15"/>
      <c r="I49" s="15"/>
      <c r="J49" s="15"/>
      <c r="K49" s="15"/>
      <c r="L49" s="10"/>
      <c r="M49" s="6"/>
      <c r="N49" s="6"/>
      <c r="O49" s="6"/>
      <c r="P49" s="6"/>
    </row>
    <row r="50" spans="1:16" ht="21" x14ac:dyDescent="0.4">
      <c r="A50" s="21" t="s">
        <v>21</v>
      </c>
      <c r="B50" s="21"/>
      <c r="C50" s="13"/>
      <c r="D50" s="13">
        <f t="shared" ref="D50:M50" si="28">SUM(D34:D49)</f>
        <v>3722850</v>
      </c>
      <c r="E50" s="13">
        <f t="shared" si="28"/>
        <v>4737078</v>
      </c>
      <c r="F50" s="13">
        <f t="shared" si="28"/>
        <v>5492649</v>
      </c>
      <c r="G50" s="13">
        <f t="shared" si="28"/>
        <v>5777070.25</v>
      </c>
      <c r="H50" s="13">
        <f t="shared" si="28"/>
        <v>5998787.5750000002</v>
      </c>
      <c r="I50" s="13">
        <f t="shared" si="28"/>
        <v>6092574.9065000005</v>
      </c>
      <c r="J50" s="13">
        <f t="shared" si="28"/>
        <v>6252427.8446300011</v>
      </c>
      <c r="K50" s="13">
        <f t="shared" si="28"/>
        <v>6426249.5815226007</v>
      </c>
      <c r="L50" s="13">
        <f t="shared" si="28"/>
        <v>6734116.9131530523</v>
      </c>
      <c r="M50" s="13">
        <f t="shared" si="28"/>
        <v>6734116.9131530523</v>
      </c>
      <c r="N50" s="6"/>
      <c r="O50" s="6"/>
      <c r="P50" s="6"/>
    </row>
    <row r="51" spans="1:16" ht="21" x14ac:dyDescent="0.4">
      <c r="A51" s="4"/>
      <c r="B51" s="4"/>
      <c r="C51" s="15"/>
      <c r="D51" s="15"/>
      <c r="E51" s="15"/>
      <c r="F51" s="15"/>
      <c r="G51" s="15"/>
      <c r="H51" s="15"/>
      <c r="I51" s="15"/>
      <c r="J51" s="15"/>
      <c r="K51" s="15"/>
      <c r="L51" s="10"/>
      <c r="M51" s="6"/>
      <c r="N51" s="6"/>
      <c r="O51" s="6"/>
      <c r="P51" s="6"/>
    </row>
    <row r="52" spans="1:16" ht="21" x14ac:dyDescent="0.4">
      <c r="A52" s="16" t="s">
        <v>11</v>
      </c>
      <c r="B52" s="105"/>
      <c r="C52" s="89"/>
      <c r="D52" s="71">
        <f t="shared" ref="D52:M52" si="29">D31-D50</f>
        <v>-1793250</v>
      </c>
      <c r="E52" s="71">
        <f t="shared" si="29"/>
        <v>-1013262</v>
      </c>
      <c r="F52" s="71">
        <f t="shared" si="29"/>
        <v>396651</v>
      </c>
      <c r="G52" s="71">
        <f t="shared" si="29"/>
        <v>2450765.75</v>
      </c>
      <c r="H52" s="71">
        <f t="shared" si="29"/>
        <v>4025368.4249999998</v>
      </c>
      <c r="I52" s="71">
        <f t="shared" si="29"/>
        <v>5218773.0934999995</v>
      </c>
      <c r="J52" s="71">
        <f t="shared" si="29"/>
        <v>6073284.1553699989</v>
      </c>
      <c r="K52" s="71">
        <f t="shared" si="29"/>
        <v>7049366.4184773993</v>
      </c>
      <c r="L52" s="71">
        <f t="shared" si="29"/>
        <v>7946239.0868469477</v>
      </c>
      <c r="M52" s="71">
        <f t="shared" si="29"/>
        <v>7970239.0868469477</v>
      </c>
      <c r="N52" s="6"/>
      <c r="O52" s="6"/>
      <c r="P52" s="6"/>
    </row>
    <row r="53" spans="1:16" ht="21" x14ac:dyDescent="0.4">
      <c r="A53" s="4"/>
      <c r="B53" s="4"/>
      <c r="C53" s="4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6"/>
      <c r="O53" s="6"/>
      <c r="P53" s="6"/>
    </row>
    <row r="54" spans="1:16" ht="21" x14ac:dyDescent="0.4">
      <c r="A54" s="4" t="s">
        <v>53</v>
      </c>
      <c r="B54" s="4"/>
      <c r="C54" s="4"/>
      <c r="D54" s="15">
        <f t="shared" ref="D54:M54" si="30">$B$74/50</f>
        <v>430000</v>
      </c>
      <c r="E54" s="15">
        <f t="shared" si="30"/>
        <v>430000</v>
      </c>
      <c r="F54" s="15">
        <f t="shared" si="30"/>
        <v>430000</v>
      </c>
      <c r="G54" s="15">
        <f t="shared" si="30"/>
        <v>430000</v>
      </c>
      <c r="H54" s="15">
        <f t="shared" si="30"/>
        <v>430000</v>
      </c>
      <c r="I54" s="15">
        <f t="shared" si="30"/>
        <v>430000</v>
      </c>
      <c r="J54" s="15">
        <f t="shared" si="30"/>
        <v>430000</v>
      </c>
      <c r="K54" s="15">
        <f t="shared" si="30"/>
        <v>430000</v>
      </c>
      <c r="L54" s="15">
        <f t="shared" si="30"/>
        <v>430000</v>
      </c>
      <c r="M54" s="15">
        <f t="shared" si="30"/>
        <v>430000</v>
      </c>
      <c r="N54" s="6"/>
      <c r="O54" s="6"/>
      <c r="P54" s="6"/>
    </row>
    <row r="55" spans="1:16" ht="21" x14ac:dyDescent="0.4">
      <c r="A55" s="4" t="s">
        <v>54</v>
      </c>
      <c r="B55" s="4"/>
      <c r="C55" s="4"/>
      <c r="D55" s="15">
        <f t="shared" ref="D55:M55" si="31">$B$76/10</f>
        <v>300000</v>
      </c>
      <c r="E55" s="15">
        <f t="shared" si="31"/>
        <v>300000</v>
      </c>
      <c r="F55" s="15">
        <f t="shared" si="31"/>
        <v>300000</v>
      </c>
      <c r="G55" s="15">
        <f t="shared" si="31"/>
        <v>300000</v>
      </c>
      <c r="H55" s="15">
        <f t="shared" si="31"/>
        <v>300000</v>
      </c>
      <c r="I55" s="15">
        <f t="shared" si="31"/>
        <v>300000</v>
      </c>
      <c r="J55" s="15">
        <f t="shared" si="31"/>
        <v>300000</v>
      </c>
      <c r="K55" s="15">
        <f t="shared" si="31"/>
        <v>300000</v>
      </c>
      <c r="L55" s="15">
        <f t="shared" si="31"/>
        <v>300000</v>
      </c>
      <c r="M55" s="15">
        <f t="shared" si="31"/>
        <v>300000</v>
      </c>
      <c r="N55" s="6"/>
      <c r="O55" s="6"/>
      <c r="P55" s="6"/>
    </row>
    <row r="56" spans="1:16" ht="21" x14ac:dyDescent="0.4">
      <c r="A56" s="4"/>
      <c r="B56" s="4"/>
      <c r="C56" s="4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6"/>
      <c r="O56" s="6"/>
      <c r="P56" s="6"/>
    </row>
    <row r="57" spans="1:16" ht="21" x14ac:dyDescent="0.4">
      <c r="A57" s="17" t="s">
        <v>12</v>
      </c>
      <c r="B57" s="106"/>
      <c r="C57" s="90"/>
      <c r="D57" s="72">
        <f>D52-D54-D55</f>
        <v>-2523250</v>
      </c>
      <c r="E57" s="72">
        <f t="shared" ref="E57:K57" si="32">E52-E54-E55</f>
        <v>-1743262</v>
      </c>
      <c r="F57" s="72">
        <f t="shared" si="32"/>
        <v>-333349</v>
      </c>
      <c r="G57" s="72">
        <f t="shared" si="32"/>
        <v>1720765.75</v>
      </c>
      <c r="H57" s="72">
        <f t="shared" si="32"/>
        <v>3295368.4249999998</v>
      </c>
      <c r="I57" s="72">
        <f t="shared" si="32"/>
        <v>4488773.0934999995</v>
      </c>
      <c r="J57" s="72">
        <f t="shared" si="32"/>
        <v>5343284.1553699989</v>
      </c>
      <c r="K57" s="72">
        <f t="shared" si="32"/>
        <v>6319366.4184773993</v>
      </c>
      <c r="L57" s="72">
        <f t="shared" ref="L57:M57" si="33">L52-L54-L55</f>
        <v>7216239.0868469477</v>
      </c>
      <c r="M57" s="72">
        <f t="shared" si="33"/>
        <v>7240239.0868469477</v>
      </c>
      <c r="N57" s="6"/>
      <c r="O57" s="6"/>
      <c r="P57" s="6"/>
    </row>
    <row r="58" spans="1:16" ht="21" x14ac:dyDescent="0.4">
      <c r="A58" s="4"/>
      <c r="B58" s="4"/>
      <c r="C58" s="4"/>
      <c r="D58" s="15"/>
      <c r="E58" s="15"/>
      <c r="F58" s="15"/>
      <c r="G58" s="15"/>
      <c r="H58" s="15"/>
      <c r="I58" s="15"/>
      <c r="J58" s="15"/>
      <c r="K58" s="15"/>
      <c r="L58" s="10"/>
      <c r="M58" s="6"/>
      <c r="N58" s="6"/>
      <c r="O58" s="6"/>
      <c r="P58" s="6"/>
    </row>
    <row r="59" spans="1:16" ht="21" x14ac:dyDescent="0.4">
      <c r="A59" s="4" t="s">
        <v>55</v>
      </c>
      <c r="B59" s="4"/>
      <c r="C59" s="15">
        <f>'PTMO FRANCES'!E14</f>
        <v>1470000.0000000002</v>
      </c>
      <c r="D59" s="15">
        <f>'PTMO FRANCES'!E15</f>
        <v>1470000.0000000002</v>
      </c>
      <c r="E59" s="15">
        <f>'PTMO FRANCES'!E16</f>
        <v>1470000.0000000002</v>
      </c>
      <c r="F59" s="15">
        <f>'PTMO FRANCES'!E17</f>
        <v>1363605.0709907743</v>
      </c>
      <c r="G59" s="15">
        <f>'PTMO FRANCES'!E18</f>
        <v>1249762.4969509025</v>
      </c>
      <c r="H59" s="15">
        <f>'PTMO FRANCES'!E19</f>
        <v>1127950.9427282391</v>
      </c>
      <c r="I59" s="15">
        <f>'PTMO FRANCES'!E20</f>
        <v>997612.57970998983</v>
      </c>
      <c r="J59" s="15">
        <f>'PTMO FRANCES'!E21</f>
        <v>858150.53128046275</v>
      </c>
      <c r="K59" s="15">
        <f>'PTMO FRANCES'!E22</f>
        <v>708926.13946086902</v>
      </c>
      <c r="L59" s="15">
        <f>'PTMO FRANCES'!E23</f>
        <v>549256.04021390365</v>
      </c>
      <c r="M59" s="15">
        <f>'PTMO FRANCES'!E24</f>
        <v>378409.03401965083</v>
      </c>
      <c r="N59" s="6"/>
      <c r="O59" s="6"/>
      <c r="P59" s="6"/>
    </row>
    <row r="60" spans="1:16" ht="21" x14ac:dyDescent="0.4">
      <c r="A60" s="4"/>
      <c r="B60" s="4"/>
      <c r="C60" s="4"/>
      <c r="D60" s="15"/>
      <c r="E60" s="15"/>
      <c r="F60" s="15"/>
      <c r="G60" s="15"/>
      <c r="H60" s="15"/>
      <c r="I60" s="15"/>
      <c r="J60" s="15"/>
      <c r="K60" s="15"/>
      <c r="L60" s="10"/>
      <c r="M60" s="6"/>
      <c r="N60" s="6"/>
      <c r="O60" s="6"/>
      <c r="P60" s="6"/>
    </row>
    <row r="61" spans="1:16" ht="21" x14ac:dyDescent="0.4">
      <c r="A61" s="18" t="s">
        <v>13</v>
      </c>
      <c r="B61" s="107"/>
      <c r="C61" s="94">
        <f t="shared" ref="C61:M61" si="34">C57-D59</f>
        <v>-1470000.0000000002</v>
      </c>
      <c r="D61" s="95">
        <f t="shared" si="34"/>
        <v>-3993250</v>
      </c>
      <c r="E61" s="95">
        <f t="shared" si="34"/>
        <v>-3106867.0709907743</v>
      </c>
      <c r="F61" s="95">
        <f t="shared" si="34"/>
        <v>-1583111.4969509025</v>
      </c>
      <c r="G61" s="95">
        <f t="shared" si="34"/>
        <v>592814.80727176089</v>
      </c>
      <c r="H61" s="95">
        <f t="shared" si="34"/>
        <v>2297755.8452900099</v>
      </c>
      <c r="I61" s="95">
        <f t="shared" si="34"/>
        <v>3630622.5622195369</v>
      </c>
      <c r="J61" s="95">
        <f t="shared" si="34"/>
        <v>4634358.0159091298</v>
      </c>
      <c r="K61" s="95">
        <f t="shared" si="34"/>
        <v>5770110.3782634959</v>
      </c>
      <c r="L61" s="95">
        <f t="shared" si="34"/>
        <v>6837830.0528272968</v>
      </c>
      <c r="M61" s="95">
        <f t="shared" si="34"/>
        <v>7240239.0868469477</v>
      </c>
      <c r="N61" s="6"/>
      <c r="O61" s="6"/>
      <c r="P61" s="6"/>
    </row>
    <row r="62" spans="1:16" ht="21" x14ac:dyDescent="0.4">
      <c r="A62" s="4"/>
      <c r="B62" s="4"/>
      <c r="C62" s="4"/>
      <c r="D62" s="15"/>
      <c r="E62" s="15"/>
      <c r="F62" s="15"/>
      <c r="G62" s="15"/>
      <c r="H62" s="15"/>
      <c r="I62" s="15"/>
      <c r="J62" s="15"/>
      <c r="K62" s="15"/>
      <c r="L62" s="10"/>
      <c r="M62" s="6"/>
      <c r="N62" s="6"/>
      <c r="O62" s="6"/>
      <c r="P62" s="6"/>
    </row>
    <row r="63" spans="1:16" ht="21" x14ac:dyDescent="0.4">
      <c r="A63" s="4" t="s">
        <v>94</v>
      </c>
      <c r="B63" s="4"/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250581</v>
      </c>
      <c r="K63" s="91">
        <f>K61*0.25</f>
        <v>1442527.594565874</v>
      </c>
      <c r="L63" s="91">
        <f>L61*0.25</f>
        <v>1709457.5132068242</v>
      </c>
      <c r="M63" s="91">
        <f>0.25*M61</f>
        <v>1810059.7717117369</v>
      </c>
      <c r="N63" s="6"/>
      <c r="O63" s="6"/>
      <c r="P63" s="6"/>
    </row>
    <row r="64" spans="1:16" ht="21" x14ac:dyDescent="0.4">
      <c r="A64" s="4"/>
      <c r="B64" s="4"/>
      <c r="C64" s="4"/>
      <c r="D64" s="15"/>
      <c r="E64" s="15"/>
      <c r="F64" s="15"/>
      <c r="G64" s="15"/>
      <c r="H64" s="15"/>
      <c r="I64" s="15"/>
      <c r="J64" s="15"/>
      <c r="K64" s="15"/>
      <c r="L64" s="10"/>
      <c r="M64" s="6"/>
      <c r="N64" s="6"/>
      <c r="O64" s="6"/>
      <c r="P64" s="6"/>
    </row>
    <row r="65" spans="1:16" ht="21" x14ac:dyDescent="0.4">
      <c r="A65" s="19" t="s">
        <v>14</v>
      </c>
      <c r="B65" s="108"/>
      <c r="C65" s="96">
        <f t="shared" ref="C65" si="35">C61-C63</f>
        <v>-1470000.0000000002</v>
      </c>
      <c r="D65" s="97">
        <f t="shared" ref="D65:M65" si="36">D61-D63</f>
        <v>-3993250</v>
      </c>
      <c r="E65" s="97">
        <f t="shared" si="36"/>
        <v>-3106867.0709907743</v>
      </c>
      <c r="F65" s="97">
        <f t="shared" si="36"/>
        <v>-1583111.4969509025</v>
      </c>
      <c r="G65" s="97">
        <f t="shared" si="36"/>
        <v>592814.80727176089</v>
      </c>
      <c r="H65" s="97">
        <f t="shared" si="36"/>
        <v>2297755.8452900099</v>
      </c>
      <c r="I65" s="97">
        <f t="shared" si="36"/>
        <v>3630622.5622195369</v>
      </c>
      <c r="J65" s="97">
        <f t="shared" si="36"/>
        <v>4383777.0159091298</v>
      </c>
      <c r="K65" s="97">
        <f t="shared" si="36"/>
        <v>4327582.7836976219</v>
      </c>
      <c r="L65" s="97">
        <f t="shared" si="36"/>
        <v>5128372.5396204721</v>
      </c>
      <c r="M65" s="97">
        <f t="shared" si="36"/>
        <v>5430179.3151352108</v>
      </c>
      <c r="N65" s="6"/>
      <c r="O65" s="6"/>
      <c r="P65" s="6"/>
    </row>
    <row r="66" spans="1:16" ht="21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6"/>
      <c r="O66" s="6"/>
      <c r="P66" s="6"/>
    </row>
    <row r="67" spans="1:16" ht="21" x14ac:dyDescent="0.4">
      <c r="A67" s="4" t="s">
        <v>56</v>
      </c>
      <c r="B67" s="4"/>
      <c r="C67" s="4"/>
      <c r="D67" s="15">
        <f t="shared" ref="D67:M67" si="37">D54+D55</f>
        <v>730000</v>
      </c>
      <c r="E67" s="15">
        <f t="shared" si="37"/>
        <v>730000</v>
      </c>
      <c r="F67" s="15">
        <f t="shared" si="37"/>
        <v>730000</v>
      </c>
      <c r="G67" s="15">
        <f t="shared" si="37"/>
        <v>730000</v>
      </c>
      <c r="H67" s="15">
        <f t="shared" si="37"/>
        <v>730000</v>
      </c>
      <c r="I67" s="15">
        <f t="shared" si="37"/>
        <v>730000</v>
      </c>
      <c r="J67" s="15">
        <f t="shared" si="37"/>
        <v>730000</v>
      </c>
      <c r="K67" s="15">
        <f t="shared" si="37"/>
        <v>730000</v>
      </c>
      <c r="L67" s="15">
        <f t="shared" si="37"/>
        <v>730000</v>
      </c>
      <c r="M67" s="15">
        <f t="shared" si="37"/>
        <v>730000</v>
      </c>
      <c r="N67" s="6"/>
      <c r="O67" s="6"/>
      <c r="P67" s="6"/>
    </row>
    <row r="68" spans="1:16" ht="21" x14ac:dyDescent="0.4">
      <c r="A68" s="4" t="s">
        <v>57</v>
      </c>
      <c r="B68" s="4"/>
      <c r="C68" s="91">
        <f t="shared" ref="C68:J68" si="38">C59</f>
        <v>1470000.0000000002</v>
      </c>
      <c r="D68" s="91">
        <f t="shared" si="38"/>
        <v>1470000.0000000002</v>
      </c>
      <c r="E68" s="91">
        <f t="shared" si="38"/>
        <v>1470000.0000000002</v>
      </c>
      <c r="F68" s="91">
        <f t="shared" si="38"/>
        <v>1363605.0709907743</v>
      </c>
      <c r="G68" s="91">
        <f t="shared" si="38"/>
        <v>1249762.4969509025</v>
      </c>
      <c r="H68" s="91">
        <f t="shared" si="38"/>
        <v>1127950.9427282391</v>
      </c>
      <c r="I68" s="91">
        <f t="shared" si="38"/>
        <v>997612.57970998983</v>
      </c>
      <c r="J68" s="91">
        <f t="shared" si="38"/>
        <v>858150.53128046275</v>
      </c>
      <c r="K68" s="91">
        <f>K59*0.23</f>
        <v>163053.01207599987</v>
      </c>
      <c r="L68" s="91">
        <f>L59*0.75</f>
        <v>411942.03016042773</v>
      </c>
      <c r="M68" s="91">
        <f>M59*0.75</f>
        <v>283806.77551473811</v>
      </c>
      <c r="N68" s="6"/>
      <c r="O68" s="6"/>
      <c r="P68" s="6"/>
    </row>
    <row r="69" spans="1:16" ht="21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6"/>
      <c r="O69" s="6"/>
      <c r="P69" s="6"/>
    </row>
    <row r="70" spans="1:16" ht="21" x14ac:dyDescent="0.4">
      <c r="A70" s="39" t="s">
        <v>34</v>
      </c>
      <c r="B70" s="109"/>
      <c r="C70" s="92">
        <f t="shared" ref="C70" si="39">C65+C67+C68</f>
        <v>0</v>
      </c>
      <c r="D70" s="93">
        <f t="shared" ref="D70:M70" si="40">D65+D67+D68</f>
        <v>-1793249.9999999998</v>
      </c>
      <c r="E70" s="93">
        <f t="shared" si="40"/>
        <v>-906867.07099077408</v>
      </c>
      <c r="F70" s="93">
        <f t="shared" si="40"/>
        <v>510493.5740398718</v>
      </c>
      <c r="G70" s="93">
        <f t="shared" si="40"/>
        <v>2572577.3042226634</v>
      </c>
      <c r="H70" s="93">
        <f t="shared" si="40"/>
        <v>4155706.788018249</v>
      </c>
      <c r="I70" s="93">
        <f t="shared" si="40"/>
        <v>5358235.1419295268</v>
      </c>
      <c r="J70" s="93">
        <f t="shared" si="40"/>
        <v>5971927.5471895924</v>
      </c>
      <c r="K70" s="93">
        <f t="shared" si="40"/>
        <v>5220635.7957736216</v>
      </c>
      <c r="L70" s="93">
        <f t="shared" si="40"/>
        <v>6270314.5697809001</v>
      </c>
      <c r="M70" s="93">
        <f t="shared" si="40"/>
        <v>6443986.0906499485</v>
      </c>
      <c r="N70" s="6"/>
      <c r="O70" s="6"/>
      <c r="P70" s="6"/>
    </row>
    <row r="71" spans="1:16" ht="21" x14ac:dyDescent="0.4">
      <c r="A71" s="4"/>
      <c r="B71" s="4"/>
      <c r="C71" s="4"/>
      <c r="D71" s="15"/>
      <c r="E71" s="15"/>
      <c r="F71" s="15"/>
      <c r="G71" s="15"/>
      <c r="H71" s="15"/>
      <c r="I71" s="15"/>
      <c r="J71" s="15"/>
      <c r="K71" s="15"/>
      <c r="L71" s="10"/>
      <c r="M71" s="6"/>
      <c r="N71" s="6"/>
      <c r="O71" s="6"/>
      <c r="P71" s="6"/>
    </row>
    <row r="72" spans="1:16" ht="21" x14ac:dyDescent="0.4">
      <c r="A72" s="4" t="s">
        <v>58</v>
      </c>
      <c r="B72" s="4"/>
      <c r="C72" s="4"/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6"/>
      <c r="O72" s="6"/>
      <c r="P72" s="6"/>
    </row>
    <row r="73" spans="1:16" ht="21" x14ac:dyDescent="0.4">
      <c r="A73" s="4" t="s">
        <v>59</v>
      </c>
      <c r="B73" s="15">
        <v>10500000</v>
      </c>
      <c r="C73" s="4"/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6"/>
      <c r="O73" s="6"/>
      <c r="P73" s="6"/>
    </row>
    <row r="74" spans="1:16" ht="21" x14ac:dyDescent="0.4">
      <c r="A74" s="4" t="s">
        <v>60</v>
      </c>
      <c r="B74" s="15">
        <v>21500000</v>
      </c>
      <c r="C74" s="4"/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6"/>
      <c r="O74" s="6"/>
      <c r="P74" s="6"/>
    </row>
    <row r="75" spans="1:16" ht="21" x14ac:dyDescent="0.4">
      <c r="A75" s="4" t="s">
        <v>61</v>
      </c>
      <c r="B75" s="15"/>
      <c r="C75" s="4"/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6"/>
      <c r="O75" s="6"/>
      <c r="P75" s="6"/>
    </row>
    <row r="76" spans="1:16" ht="21" x14ac:dyDescent="0.4">
      <c r="A76" s="4" t="s">
        <v>62</v>
      </c>
      <c r="B76" s="15">
        <v>3000000</v>
      </c>
      <c r="C76" s="4"/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6"/>
      <c r="O76" s="6"/>
      <c r="P76" s="6"/>
    </row>
    <row r="77" spans="1:16" ht="21" x14ac:dyDescent="0.4">
      <c r="A77" s="4"/>
      <c r="B77" s="4"/>
      <c r="D77" s="15"/>
      <c r="E77" s="15"/>
      <c r="F77" s="15"/>
      <c r="G77" s="15"/>
      <c r="H77" s="15"/>
      <c r="I77" s="15"/>
      <c r="J77" s="15"/>
      <c r="K77" s="15"/>
      <c r="L77" s="10"/>
      <c r="M77" s="6"/>
      <c r="N77" s="6"/>
      <c r="O77" s="6"/>
      <c r="P77" s="6"/>
    </row>
    <row r="78" spans="1:16" ht="21.6" thickBot="1" x14ac:dyDescent="0.45">
      <c r="A78" s="20" t="s">
        <v>15</v>
      </c>
      <c r="B78" s="15">
        <f>C70-C72-B73-B74-B75-B76</f>
        <v>-35000000</v>
      </c>
      <c r="C78" s="4">
        <v>0</v>
      </c>
      <c r="D78" s="15">
        <f t="shared" ref="D78:M78" si="41">D70-D72-D73-D74-D75-D76</f>
        <v>-1793249.9999999998</v>
      </c>
      <c r="E78" s="15">
        <f t="shared" si="41"/>
        <v>-906867.07099077408</v>
      </c>
      <c r="F78" s="15">
        <f t="shared" si="41"/>
        <v>510493.5740398718</v>
      </c>
      <c r="G78" s="15">
        <f t="shared" si="41"/>
        <v>2572577.3042226634</v>
      </c>
      <c r="H78" s="15">
        <f t="shared" si="41"/>
        <v>4155706.788018249</v>
      </c>
      <c r="I78" s="15">
        <f t="shared" si="41"/>
        <v>5358235.1419295268</v>
      </c>
      <c r="J78" s="15">
        <f t="shared" si="41"/>
        <v>5971927.5471895924</v>
      </c>
      <c r="K78" s="15">
        <f t="shared" si="41"/>
        <v>5220635.7957736216</v>
      </c>
      <c r="L78" s="15">
        <f t="shared" si="41"/>
        <v>6270314.5697809001</v>
      </c>
      <c r="M78" s="15">
        <f t="shared" si="41"/>
        <v>6443986.0906499485</v>
      </c>
      <c r="N78" s="6"/>
      <c r="O78" s="6"/>
      <c r="P78" s="6"/>
    </row>
    <row r="79" spans="1:16" ht="21.6" thickTop="1" x14ac:dyDescent="0.4">
      <c r="A79" s="4"/>
      <c r="B79" s="4"/>
      <c r="C79" s="15"/>
      <c r="D79" s="15"/>
      <c r="E79" s="15"/>
      <c r="F79" s="15"/>
      <c r="G79" s="15"/>
      <c r="H79" s="15"/>
      <c r="I79" s="15"/>
      <c r="J79" s="15"/>
      <c r="K79" s="15"/>
      <c r="L79" s="10"/>
      <c r="M79" s="6"/>
      <c r="N79" s="6"/>
      <c r="O79" s="6"/>
      <c r="P79" s="6"/>
    </row>
    <row r="80" spans="1:16" ht="21" x14ac:dyDescent="0.4">
      <c r="A80" s="4"/>
      <c r="B80" s="4"/>
      <c r="C80" s="4"/>
      <c r="D80" s="15"/>
      <c r="E80" s="15"/>
      <c r="F80" s="15"/>
      <c r="G80" s="15"/>
      <c r="H80" s="15"/>
      <c r="I80" s="15"/>
      <c r="J80" s="15"/>
      <c r="K80" s="15"/>
      <c r="L80" s="6"/>
      <c r="M80" s="6"/>
      <c r="N80" s="6"/>
      <c r="O80" s="6"/>
      <c r="P80" s="6"/>
    </row>
    <row r="81" spans="1:16" ht="21" x14ac:dyDescent="0.4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6"/>
      <c r="M81" s="6"/>
      <c r="N81" s="6"/>
      <c r="O81" s="6"/>
      <c r="P81" s="6"/>
    </row>
    <row r="82" spans="1:16" ht="21" x14ac:dyDescent="0.4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6"/>
      <c r="M82" s="6"/>
      <c r="N82" s="6"/>
      <c r="O82" s="6"/>
      <c r="P82" s="6"/>
    </row>
    <row r="83" spans="1:16" ht="21" x14ac:dyDescent="0.4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6"/>
      <c r="M83" s="6"/>
      <c r="N83" s="6"/>
      <c r="O83" s="6"/>
      <c r="P83" s="6"/>
    </row>
    <row r="84" spans="1:16" ht="21" x14ac:dyDescent="0.4">
      <c r="K84" s="5"/>
      <c r="L84" s="6"/>
      <c r="M84" s="6"/>
      <c r="N84" s="6"/>
      <c r="O84" s="6"/>
      <c r="P84" s="6"/>
    </row>
    <row r="85" spans="1:16" ht="21" x14ac:dyDescent="0.4">
      <c r="K85" s="5"/>
      <c r="L85" s="6"/>
      <c r="M85" s="6"/>
      <c r="N85" s="6"/>
      <c r="O85" s="6"/>
      <c r="P85" s="6"/>
    </row>
    <row r="86" spans="1:16" ht="21" x14ac:dyDescent="0.4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6"/>
      <c r="M86" s="6"/>
      <c r="N86" s="6"/>
      <c r="O86" s="6"/>
      <c r="P86" s="6"/>
    </row>
    <row r="87" spans="1:16" ht="21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6"/>
      <c r="M87" s="6"/>
      <c r="N87" s="6"/>
      <c r="O87" s="6"/>
      <c r="P87" s="6"/>
    </row>
    <row r="88" spans="1:16" ht="21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6"/>
      <c r="M88" s="6"/>
      <c r="N88" s="6"/>
      <c r="O88" s="6"/>
      <c r="P88" s="6"/>
    </row>
    <row r="89" spans="1:16" ht="21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6"/>
      <c r="M89" s="6"/>
      <c r="N89" s="6"/>
      <c r="O89" s="6"/>
      <c r="P89" s="6"/>
    </row>
    <row r="90" spans="1:16" ht="21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6"/>
      <c r="M90" s="6"/>
      <c r="N90" s="6"/>
      <c r="O90" s="6"/>
      <c r="P90" s="6"/>
    </row>
    <row r="91" spans="1:16" ht="21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6"/>
      <c r="M91" s="6"/>
      <c r="N91" s="6"/>
      <c r="O91" s="6"/>
      <c r="P91" s="6"/>
    </row>
    <row r="92" spans="1:16" ht="21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6"/>
      <c r="M92" s="6"/>
      <c r="N92" s="6"/>
      <c r="O92" s="6"/>
      <c r="P92" s="6"/>
    </row>
    <row r="93" spans="1:16" ht="2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6" ht="21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6" ht="18.75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6" ht="18.75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8.75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8.75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8.75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8.75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8.75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8.75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8.75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8.75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8.75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8.75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8.75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8.75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8.75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8.75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8.75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8.75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8.75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8.75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8.75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8.75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8.75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8.75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8.75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8.75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8.75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8.75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8.75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8.75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8.75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8.75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8.75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8.75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8.75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8.75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8.75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8.75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8.75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8.75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8.75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8.75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8.75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8.75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8.75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8.75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8.75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8.75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8.75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8.75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8.75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8.75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8.75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8.75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8.75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8.75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8.75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8.75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8.75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8.75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8.75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8.75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8.75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8.75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8.75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8.75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8.75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8.75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8.75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8.75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</sheetData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3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N37"/>
  <sheetViews>
    <sheetView topLeftCell="B12" workbookViewId="0">
      <selection activeCell="I14" sqref="I14"/>
    </sheetView>
  </sheetViews>
  <sheetFormatPr baseColWidth="10" defaultRowHeight="15" x14ac:dyDescent="0.25"/>
  <cols>
    <col min="1" max="1" width="5.5703125" customWidth="1"/>
    <col min="2" max="2" width="49.28515625" customWidth="1"/>
    <col min="3" max="3" width="16.28515625" customWidth="1"/>
    <col min="4" max="4" width="13.5703125" bestFit="1" customWidth="1"/>
    <col min="5" max="5" width="16.5703125" customWidth="1"/>
    <col min="6" max="6" width="13.5703125" customWidth="1"/>
    <col min="7" max="7" width="13.7109375" customWidth="1"/>
    <col min="8" max="8" width="14.140625" customWidth="1"/>
    <col min="9" max="9" width="14.7109375" customWidth="1"/>
    <col min="10" max="10" width="14.85546875" customWidth="1"/>
    <col min="11" max="11" width="13.7109375" customWidth="1"/>
    <col min="12" max="12" width="13.42578125" customWidth="1"/>
    <col min="13" max="13" width="17" customWidth="1"/>
    <col min="14" max="14" width="15.5703125" customWidth="1"/>
  </cols>
  <sheetData>
    <row r="3" spans="2:14" ht="23.45" x14ac:dyDescent="0.45">
      <c r="D3" s="112" t="s">
        <v>27</v>
      </c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5" spans="2:14" x14ac:dyDescent="0.25">
      <c r="C5" s="22" t="s">
        <v>118</v>
      </c>
      <c r="D5" s="22" t="s">
        <v>82</v>
      </c>
      <c r="E5" s="22" t="s">
        <v>0</v>
      </c>
      <c r="F5" s="22" t="s">
        <v>1</v>
      </c>
      <c r="G5" s="22" t="s">
        <v>2</v>
      </c>
      <c r="H5" s="22" t="s">
        <v>3</v>
      </c>
      <c r="I5" s="22" t="s">
        <v>4</v>
      </c>
      <c r="J5" s="22" t="s">
        <v>5</v>
      </c>
      <c r="K5" s="22" t="s">
        <v>6</v>
      </c>
      <c r="L5" s="22" t="s">
        <v>7</v>
      </c>
      <c r="M5" s="22" t="s">
        <v>97</v>
      </c>
      <c r="N5" s="22" t="s">
        <v>98</v>
      </c>
    </row>
    <row r="6" spans="2:14" thickBot="1" x14ac:dyDescent="0.35"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2:14" ht="14.45" x14ac:dyDescent="0.3">
      <c r="B7" s="24"/>
      <c r="C7" s="110"/>
      <c r="D7" s="66"/>
      <c r="E7" s="25"/>
      <c r="F7" s="26"/>
      <c r="G7" s="26"/>
      <c r="H7" s="26"/>
      <c r="I7" s="26"/>
      <c r="J7" s="26"/>
      <c r="K7" s="26"/>
      <c r="L7" s="26"/>
      <c r="M7" s="26"/>
      <c r="N7" s="26"/>
    </row>
    <row r="8" spans="2:14" ht="14.45" x14ac:dyDescent="0.3">
      <c r="B8" s="27"/>
      <c r="C8" s="23"/>
      <c r="D8" s="67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2:14" ht="14.45" x14ac:dyDescent="0.3">
      <c r="B9" s="38" t="s">
        <v>28</v>
      </c>
      <c r="C9" s="29">
        <f>'CUENTA DE RESULTADOS boliv'!B78</f>
        <v>-35000000</v>
      </c>
      <c r="D9" s="29">
        <f>'CUENTA DE RESULTADOS boliv'!C78</f>
        <v>0</v>
      </c>
      <c r="E9" s="29">
        <f>'CUENTA DE RESULTADOS boliv'!D78</f>
        <v>-1793249.9999999998</v>
      </c>
      <c r="F9" s="29">
        <f>'CUENTA DE RESULTADOS boliv'!E78</f>
        <v>-906867.07099077408</v>
      </c>
      <c r="G9" s="29">
        <f>'CUENTA DE RESULTADOS boliv'!F78</f>
        <v>510493.5740398718</v>
      </c>
      <c r="H9" s="29">
        <f>'CUENTA DE RESULTADOS boliv'!G78</f>
        <v>2572577.3042226634</v>
      </c>
      <c r="I9" s="29">
        <f>'CUENTA DE RESULTADOS boliv'!H78</f>
        <v>4155706.788018249</v>
      </c>
      <c r="J9" s="29">
        <f>'CUENTA DE RESULTADOS boliv'!I78</f>
        <v>5358235.1419295268</v>
      </c>
      <c r="K9" s="29">
        <f>'CUENTA DE RESULTADOS boliv'!J78</f>
        <v>5971927.5471895924</v>
      </c>
      <c r="L9" s="29">
        <f>'CUENTA DE RESULTADOS boliv'!K78</f>
        <v>5220635.7957736216</v>
      </c>
      <c r="M9" s="29">
        <f>'CUENTA DE RESULTADOS boliv'!L78</f>
        <v>6270314.5697809001</v>
      </c>
      <c r="N9" s="29">
        <f>'CUENTA DE RESULTADOS boliv'!M78</f>
        <v>6443986.0906499485</v>
      </c>
    </row>
    <row r="10" spans="2:14" ht="14.45" x14ac:dyDescent="0.3">
      <c r="B10" s="27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2:14" ht="18" x14ac:dyDescent="0.35">
      <c r="B11" s="63" t="s">
        <v>71</v>
      </c>
      <c r="C11" s="29">
        <v>0</v>
      </c>
      <c r="D11" s="29">
        <f>-'PTMO FRANCES'!E14</f>
        <v>-1470000.0000000002</v>
      </c>
      <c r="E11" s="29">
        <f>-'PTMO FRANCES'!E15</f>
        <v>-1470000.0000000002</v>
      </c>
      <c r="F11" s="29">
        <f>-'PTMO FRANCES'!E16</f>
        <v>-1470000.0000000002</v>
      </c>
      <c r="G11" s="29">
        <f>-'PTMO FRANCES'!E17</f>
        <v>-1363605.0709907743</v>
      </c>
      <c r="H11" s="29">
        <f>-'PTMO FRANCES'!E18</f>
        <v>-1249762.4969509025</v>
      </c>
      <c r="I11" s="29">
        <f>-'PTMO FRANCES'!E19</f>
        <v>-1127950.9427282391</v>
      </c>
      <c r="J11" s="29">
        <f>-'PTMO FRANCES'!E20</f>
        <v>-997612.57970998983</v>
      </c>
      <c r="K11" s="29">
        <f>-'PTMO FRANCES'!E21</f>
        <v>-858150.53128046275</v>
      </c>
      <c r="L11" s="29">
        <f>-'PTMO FRANCES'!E22*0.75539</f>
        <v>-535515.71648734587</v>
      </c>
      <c r="M11" s="29">
        <f>-'PTMO FRANCES'!E23*0.75</f>
        <v>-411942.03016042773</v>
      </c>
      <c r="N11" s="29">
        <f>-'PTMO FRANCES'!E24*0.75</f>
        <v>-283806.77551473811</v>
      </c>
    </row>
    <row r="12" spans="2:14" ht="18" x14ac:dyDescent="0.35">
      <c r="B12" s="63" t="s">
        <v>87</v>
      </c>
      <c r="C12" s="29">
        <v>21000000</v>
      </c>
      <c r="D12" s="29"/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</row>
    <row r="13" spans="2:14" ht="18" x14ac:dyDescent="0.35">
      <c r="B13" s="63" t="s">
        <v>88</v>
      </c>
      <c r="C13" s="29">
        <v>0</v>
      </c>
      <c r="D13" s="29"/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</row>
    <row r="14" spans="2:14" ht="18.75" x14ac:dyDescent="0.3">
      <c r="B14" s="63" t="s">
        <v>89</v>
      </c>
      <c r="C14" s="29">
        <v>14000000</v>
      </c>
      <c r="D14" s="29">
        <v>1500000</v>
      </c>
      <c r="E14" s="29">
        <v>3300000</v>
      </c>
      <c r="F14" s="29">
        <v>4000000</v>
      </c>
      <c r="G14" s="29">
        <v>2500000</v>
      </c>
      <c r="H14" s="29">
        <v>300000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</row>
    <row r="15" spans="2:14" ht="18.75" x14ac:dyDescent="0.3">
      <c r="B15" s="63" t="s">
        <v>32</v>
      </c>
      <c r="C15" s="29">
        <v>0</v>
      </c>
      <c r="D15" s="29"/>
      <c r="E15" s="104">
        <v>0</v>
      </c>
      <c r="F15" s="29">
        <f>-'PTMO FRANCES'!D16</f>
        <v>-1519927.5572746592</v>
      </c>
      <c r="G15" s="29">
        <f>-'PTMO FRANCES'!D17</f>
        <v>-1626322.4862838851</v>
      </c>
      <c r="H15" s="29">
        <f>-'PTMO FRANCES'!D18</f>
        <v>-1740165.0603237576</v>
      </c>
      <c r="I15" s="29">
        <f>-'PTMO FRANCES'!D19</f>
        <v>-1861976.6145464205</v>
      </c>
      <c r="J15" s="29">
        <f>-'PTMO FRANCES'!D20</f>
        <v>-1992314.9775646697</v>
      </c>
      <c r="K15" s="29">
        <f>-'PTMO FRANCES'!D21</f>
        <v>-2131777.0259941965</v>
      </c>
      <c r="L15" s="29">
        <f>-'PTMO FRANCES'!D22</f>
        <v>-2281001.4178137905</v>
      </c>
      <c r="M15" s="29">
        <f>-'PTMO FRANCES'!D23</f>
        <v>-2440671.5170607558</v>
      </c>
      <c r="N15" s="29">
        <f>-'PTMO FRANCES'!D24</f>
        <v>-2611518.5232550087</v>
      </c>
    </row>
    <row r="16" spans="2:14" ht="18.75" x14ac:dyDescent="0.3">
      <c r="B16" s="63" t="s">
        <v>33</v>
      </c>
      <c r="C16" s="29">
        <v>0</v>
      </c>
      <c r="D16" s="29"/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</row>
    <row r="17" spans="2:14" ht="14.45" x14ac:dyDescent="0.3">
      <c r="B17" s="30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29"/>
    </row>
    <row r="18" spans="2:14" ht="14.45" x14ac:dyDescent="0.3">
      <c r="B18" s="2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29"/>
    </row>
    <row r="19" spans="2:14" ht="14.45" x14ac:dyDescent="0.3">
      <c r="B19" s="38" t="s">
        <v>29</v>
      </c>
      <c r="C19" s="29">
        <f>SUM(C9:C16)</f>
        <v>0</v>
      </c>
      <c r="D19" s="29">
        <f>SUM(D9:D16)</f>
        <v>29999.999999999767</v>
      </c>
      <c r="E19" s="29">
        <f t="shared" ref="E19:N19" si="0">SUM(E9:E16)</f>
        <v>36750</v>
      </c>
      <c r="F19" s="29">
        <f t="shared" si="0"/>
        <v>103205.37173456652</v>
      </c>
      <c r="G19" s="29">
        <f t="shared" si="0"/>
        <v>20566.016765212407</v>
      </c>
      <c r="H19" s="29">
        <f t="shared" si="0"/>
        <v>-117350.2530519967</v>
      </c>
      <c r="I19" s="29">
        <f t="shared" si="0"/>
        <v>1165779.2307435893</v>
      </c>
      <c r="J19" s="29">
        <f t="shared" si="0"/>
        <v>2368307.5846548672</v>
      </c>
      <c r="K19" s="29">
        <f t="shared" si="0"/>
        <v>2981999.9899149332</v>
      </c>
      <c r="L19" s="29">
        <f t="shared" si="0"/>
        <v>2404118.6614724849</v>
      </c>
      <c r="M19" s="29">
        <f t="shared" si="0"/>
        <v>3417701.0225597164</v>
      </c>
      <c r="N19" s="29">
        <f t="shared" si="0"/>
        <v>3548660.791880202</v>
      </c>
    </row>
    <row r="20" spans="2:14" ht="14.45" x14ac:dyDescent="0.3">
      <c r="B20" s="31"/>
      <c r="C20" s="69"/>
      <c r="D20" s="69"/>
      <c r="E20" s="32"/>
      <c r="F20" s="29"/>
      <c r="G20" s="29"/>
      <c r="H20" s="29"/>
      <c r="I20" s="29"/>
      <c r="J20" s="29"/>
      <c r="K20" s="29"/>
      <c r="L20" s="29"/>
      <c r="M20" s="29"/>
      <c r="N20" s="29"/>
    </row>
    <row r="21" spans="2:14" ht="14.45" x14ac:dyDescent="0.3">
      <c r="B21" s="33"/>
      <c r="C21" s="70"/>
      <c r="D21" s="70"/>
      <c r="E21" s="29"/>
      <c r="F21" s="29"/>
      <c r="G21" s="29"/>
      <c r="H21" s="29"/>
      <c r="I21" s="29"/>
      <c r="J21" s="29"/>
      <c r="K21" s="29"/>
      <c r="L21" s="29"/>
      <c r="M21" s="29"/>
      <c r="N21" s="29"/>
    </row>
    <row r="22" spans="2:14" thickBot="1" x14ac:dyDescent="0.35">
      <c r="B22" s="27"/>
      <c r="C22" s="67"/>
      <c r="D22" s="67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3" spans="2:14" thickBot="1" x14ac:dyDescent="0.35">
      <c r="B23" s="64" t="s">
        <v>30</v>
      </c>
      <c r="C23" s="34">
        <v>0</v>
      </c>
      <c r="D23" s="34">
        <f>C24</f>
        <v>0</v>
      </c>
      <c r="E23" s="34">
        <f>D24</f>
        <v>29999.999999999767</v>
      </c>
      <c r="F23" s="34">
        <f t="shared" ref="F23:N23" si="1">E24</f>
        <v>66749.999999999767</v>
      </c>
      <c r="G23" s="34">
        <f t="shared" si="1"/>
        <v>169955.37173456629</v>
      </c>
      <c r="H23" s="34">
        <f t="shared" si="1"/>
        <v>190521.3884997787</v>
      </c>
      <c r="I23" s="34">
        <f t="shared" si="1"/>
        <v>73171.135447781999</v>
      </c>
      <c r="J23" s="34">
        <f t="shared" si="1"/>
        <v>1238950.3661913713</v>
      </c>
      <c r="K23" s="34">
        <f t="shared" si="1"/>
        <v>3607257.9508462385</v>
      </c>
      <c r="L23" s="34">
        <f t="shared" si="1"/>
        <v>6589257.9407611713</v>
      </c>
      <c r="M23" s="34">
        <f t="shared" si="1"/>
        <v>8993376.6022336558</v>
      </c>
      <c r="N23" s="34">
        <f t="shared" si="1"/>
        <v>12411077.624793373</v>
      </c>
    </row>
    <row r="24" spans="2:14" thickBot="1" x14ac:dyDescent="0.35">
      <c r="B24" s="65" t="s">
        <v>31</v>
      </c>
      <c r="C24" s="35">
        <f>C23+C19</f>
        <v>0</v>
      </c>
      <c r="D24" s="35">
        <f>D23+D19</f>
        <v>29999.999999999767</v>
      </c>
      <c r="E24" s="35">
        <f>E19+E23</f>
        <v>66749.999999999767</v>
      </c>
      <c r="F24" s="35">
        <f t="shared" ref="F24:N24" si="2">F19+F23</f>
        <v>169955.37173456629</v>
      </c>
      <c r="G24" s="35">
        <f t="shared" si="2"/>
        <v>190521.3884997787</v>
      </c>
      <c r="H24" s="35">
        <f t="shared" si="2"/>
        <v>73171.135447781999</v>
      </c>
      <c r="I24" s="35">
        <f t="shared" si="2"/>
        <v>1238950.3661913713</v>
      </c>
      <c r="J24" s="35">
        <f t="shared" si="2"/>
        <v>3607257.9508462385</v>
      </c>
      <c r="K24" s="35">
        <f t="shared" si="2"/>
        <v>6589257.9407611713</v>
      </c>
      <c r="L24" s="35">
        <f t="shared" si="2"/>
        <v>8993376.6022336558</v>
      </c>
      <c r="M24" s="35">
        <f t="shared" si="2"/>
        <v>12411077.624793373</v>
      </c>
      <c r="N24" s="35">
        <f t="shared" si="2"/>
        <v>15959738.416673575</v>
      </c>
    </row>
    <row r="27" spans="2:14" x14ac:dyDescent="0.25">
      <c r="B27" t="s">
        <v>119</v>
      </c>
    </row>
    <row r="35" spans="4:13" x14ac:dyDescent="0.25">
      <c r="F35" s="2"/>
      <c r="G35" s="2"/>
      <c r="H35" s="2"/>
      <c r="I35" s="2"/>
      <c r="J35" s="2"/>
      <c r="K35" s="2"/>
      <c r="L35" s="2"/>
      <c r="M35" s="2"/>
    </row>
    <row r="36" spans="4:13" x14ac:dyDescent="0.25">
      <c r="F36" s="2"/>
      <c r="G36" s="2"/>
      <c r="H36" s="2"/>
      <c r="I36" s="2"/>
      <c r="J36" s="2"/>
      <c r="K36" s="2"/>
      <c r="L36" s="2"/>
      <c r="M36" s="2"/>
    </row>
    <row r="37" spans="4:13" x14ac:dyDescent="0.25">
      <c r="D37" s="36"/>
      <c r="E37" s="36"/>
      <c r="F37" s="37"/>
      <c r="G37" s="37"/>
      <c r="H37" s="37"/>
      <c r="I37" s="37"/>
      <c r="J37" s="37"/>
      <c r="K37" s="37"/>
      <c r="L37" s="37"/>
      <c r="M37" s="37"/>
    </row>
  </sheetData>
  <mergeCells count="1">
    <mergeCell ref="D3:N3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O69"/>
  <sheetViews>
    <sheetView topLeftCell="A31" workbookViewId="0">
      <selection activeCell="O25" sqref="O25"/>
    </sheetView>
  </sheetViews>
  <sheetFormatPr baseColWidth="10" defaultRowHeight="15" x14ac:dyDescent="0.25"/>
  <cols>
    <col min="2" max="2" width="39.28515625" customWidth="1"/>
  </cols>
  <sheetData>
    <row r="3" spans="2:14" ht="23.45" x14ac:dyDescent="0.45">
      <c r="B3" s="112" t="s">
        <v>113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2:14" thickBot="1" x14ac:dyDescent="0.35"/>
    <row r="5" spans="2:14" ht="15.75" thickBot="1" x14ac:dyDescent="0.3">
      <c r="C5" s="101" t="s">
        <v>118</v>
      </c>
      <c r="D5" s="101" t="s">
        <v>82</v>
      </c>
      <c r="E5" s="101" t="s">
        <v>0</v>
      </c>
      <c r="F5" s="101" t="s">
        <v>1</v>
      </c>
      <c r="G5" s="101" t="s">
        <v>2</v>
      </c>
      <c r="H5" s="101" t="s">
        <v>3</v>
      </c>
      <c r="I5" s="101" t="s">
        <v>4</v>
      </c>
      <c r="J5" s="101" t="s">
        <v>5</v>
      </c>
      <c r="K5" s="101" t="s">
        <v>6</v>
      </c>
      <c r="L5" s="101" t="s">
        <v>7</v>
      </c>
      <c r="M5" s="101" t="s">
        <v>97</v>
      </c>
      <c r="N5" s="101" t="s">
        <v>98</v>
      </c>
    </row>
    <row r="6" spans="2:14" thickBot="1" x14ac:dyDescent="0.35">
      <c r="B6" s="98" t="s">
        <v>12</v>
      </c>
      <c r="C6" s="99">
        <f>'CUENTA DE RESULTADOS boliv'!C57</f>
        <v>0</v>
      </c>
      <c r="D6" s="99">
        <f>'CUENTA DE RESULTADOS boliv'!C57</f>
        <v>0</v>
      </c>
      <c r="E6" s="99">
        <f>'CUENTA DE RESULTADOS boliv'!D57</f>
        <v>-2523250</v>
      </c>
      <c r="F6" s="99">
        <f>'CUENTA DE RESULTADOS boliv'!E57</f>
        <v>-1743262</v>
      </c>
      <c r="G6" s="99">
        <f>'CUENTA DE RESULTADOS boliv'!F57</f>
        <v>-333349</v>
      </c>
      <c r="H6" s="99">
        <f>'CUENTA DE RESULTADOS boliv'!G57</f>
        <v>1720765.75</v>
      </c>
      <c r="I6" s="99">
        <f>'CUENTA DE RESULTADOS boliv'!H57</f>
        <v>3295368.4249999998</v>
      </c>
      <c r="J6" s="99">
        <f>'CUENTA DE RESULTADOS boliv'!I57</f>
        <v>4488773.0934999995</v>
      </c>
      <c r="K6" s="99">
        <f>'CUENTA DE RESULTADOS boliv'!J57</f>
        <v>5343284.1553699989</v>
      </c>
      <c r="L6" s="99">
        <f>'CUENTA DE RESULTADOS boliv'!K57</f>
        <v>6319366.4184773993</v>
      </c>
      <c r="M6" s="99">
        <f>'CUENTA DE RESULTADOS boliv'!L57</f>
        <v>7216239.0868469477</v>
      </c>
      <c r="N6" s="100">
        <f>'CUENTA DE RESULTADOS boliv'!M57</f>
        <v>7240239.0868469477</v>
      </c>
    </row>
    <row r="7" spans="2:14" ht="14.45" x14ac:dyDescent="0.3">
      <c r="B7" s="27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2:14" ht="14.45" x14ac:dyDescent="0.3">
      <c r="B8" s="41" t="s">
        <v>63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0</v>
      </c>
      <c r="K8" s="40">
        <v>0</v>
      </c>
      <c r="L8" s="40">
        <f t="shared" ref="L8:M8" si="0">L6*0.25</f>
        <v>1579841.6046193498</v>
      </c>
      <c r="M8" s="40">
        <f t="shared" si="0"/>
        <v>1804059.7717117369</v>
      </c>
      <c r="N8" s="40">
        <f>N6*0.25</f>
        <v>1810059.7717117369</v>
      </c>
    </row>
    <row r="9" spans="2:14" ht="14.45" x14ac:dyDescent="0.3">
      <c r="B9" s="27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2:14" ht="14.45" x14ac:dyDescent="0.3">
      <c r="B10" s="27" t="s">
        <v>64</v>
      </c>
      <c r="C10" s="40">
        <f>C6-C8</f>
        <v>0</v>
      </c>
      <c r="D10" s="40">
        <f t="shared" ref="D10" si="1">D6-D8</f>
        <v>0</v>
      </c>
      <c r="E10" s="40">
        <f t="shared" ref="E10:N10" si="2">E6-E8</f>
        <v>-2523250</v>
      </c>
      <c r="F10" s="40">
        <f t="shared" si="2"/>
        <v>-1743262</v>
      </c>
      <c r="G10" s="40">
        <f t="shared" si="2"/>
        <v>-333349</v>
      </c>
      <c r="H10" s="40">
        <f t="shared" si="2"/>
        <v>1720765.75</v>
      </c>
      <c r="I10" s="40">
        <f t="shared" si="2"/>
        <v>3295368.4249999998</v>
      </c>
      <c r="J10" s="40">
        <f t="shared" si="2"/>
        <v>4488773.0934999995</v>
      </c>
      <c r="K10" s="40">
        <f t="shared" si="2"/>
        <v>5343284.1553699989</v>
      </c>
      <c r="L10" s="40">
        <f t="shared" si="2"/>
        <v>4739524.813858049</v>
      </c>
      <c r="M10" s="40">
        <f t="shared" si="2"/>
        <v>5412179.3151352108</v>
      </c>
      <c r="N10" s="40">
        <f t="shared" si="2"/>
        <v>5430179.3151352108</v>
      </c>
    </row>
    <row r="11" spans="2:14" ht="14.45" x14ac:dyDescent="0.3">
      <c r="B11" s="27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</row>
    <row r="12" spans="2:14" ht="14.45" x14ac:dyDescent="0.3">
      <c r="B12" s="41" t="s">
        <v>65</v>
      </c>
      <c r="C12" s="40">
        <f>'CUENTA DE RESULTADOS boliv'!C67</f>
        <v>0</v>
      </c>
      <c r="D12" s="40">
        <f>'CUENTA DE RESULTADOS boliv'!C67</f>
        <v>0</v>
      </c>
      <c r="E12" s="40">
        <f>'CUENTA DE RESULTADOS boliv'!D67</f>
        <v>730000</v>
      </c>
      <c r="F12" s="40">
        <f>'CUENTA DE RESULTADOS boliv'!E67</f>
        <v>730000</v>
      </c>
      <c r="G12" s="40">
        <f>'CUENTA DE RESULTADOS boliv'!F67</f>
        <v>730000</v>
      </c>
      <c r="H12" s="40">
        <f>'CUENTA DE RESULTADOS boliv'!G67</f>
        <v>730000</v>
      </c>
      <c r="I12" s="40">
        <f>'CUENTA DE RESULTADOS boliv'!H67</f>
        <v>730000</v>
      </c>
      <c r="J12" s="40">
        <f>'CUENTA DE RESULTADOS boliv'!I67</f>
        <v>730000</v>
      </c>
      <c r="K12" s="40">
        <f>'CUENTA DE RESULTADOS boliv'!J67</f>
        <v>730000</v>
      </c>
      <c r="L12" s="40">
        <f>'CUENTA DE RESULTADOS boliv'!K67</f>
        <v>730000</v>
      </c>
      <c r="M12" s="40">
        <f>'CUENTA DE RESULTADOS boliv'!L67</f>
        <v>730000</v>
      </c>
      <c r="N12" s="40">
        <f>'CUENTA DE RESULTADOS boliv'!M67</f>
        <v>730000</v>
      </c>
    </row>
    <row r="13" spans="2:14" ht="14.45" x14ac:dyDescent="0.3">
      <c r="B13" s="27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2:14" ht="14.45" x14ac:dyDescent="0.3">
      <c r="B14" s="27" t="s">
        <v>66</v>
      </c>
      <c r="C14" s="40">
        <f>C10+C12</f>
        <v>0</v>
      </c>
      <c r="D14" s="40">
        <f t="shared" ref="D14" si="3">D10+D12</f>
        <v>0</v>
      </c>
      <c r="E14" s="40">
        <f t="shared" ref="E14:N14" si="4">E10+E12</f>
        <v>-1793250</v>
      </c>
      <c r="F14" s="40">
        <f t="shared" si="4"/>
        <v>-1013262</v>
      </c>
      <c r="G14" s="40">
        <f t="shared" si="4"/>
        <v>396651</v>
      </c>
      <c r="H14" s="40">
        <f t="shared" si="4"/>
        <v>2450765.75</v>
      </c>
      <c r="I14" s="40">
        <f t="shared" si="4"/>
        <v>4025368.4249999998</v>
      </c>
      <c r="J14" s="40">
        <f t="shared" si="4"/>
        <v>5218773.0934999995</v>
      </c>
      <c r="K14" s="40">
        <f t="shared" si="4"/>
        <v>6073284.1553699989</v>
      </c>
      <c r="L14" s="40">
        <f t="shared" si="4"/>
        <v>5469524.813858049</v>
      </c>
      <c r="M14" s="40">
        <f t="shared" si="4"/>
        <v>6142179.3151352108</v>
      </c>
      <c r="N14" s="40">
        <f t="shared" si="4"/>
        <v>6160179.3151352108</v>
      </c>
    </row>
    <row r="15" spans="2:14" ht="14.45" x14ac:dyDescent="0.3">
      <c r="B15" s="27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</row>
    <row r="16" spans="2:14" ht="14.45" x14ac:dyDescent="0.3">
      <c r="B16" s="41" t="s">
        <v>67</v>
      </c>
      <c r="C16" s="40">
        <f>-('CUENTA DE RESULTADOS boliv'!B73+'CUENTA DE RESULTADOS boliv'!B74+'CUENTA DE RESULTADOS boliv'!B75+'CUENTA DE RESULTADOS boliv'!B76)</f>
        <v>-35000000</v>
      </c>
      <c r="D16" s="40">
        <f>-('CUENTA DE RESULTADOS boliv'!C73+'CUENTA DE RESULTADOS boliv'!C74+'CUENTA DE RESULTADOS boliv'!C75+'CUENTA DE RESULTADOS boliv'!C76)</f>
        <v>0</v>
      </c>
      <c r="E16" s="40">
        <f>-('CUENTA DE RESULTADOS boliv'!D73+'CUENTA DE RESULTADOS boliv'!D74+'CUENTA DE RESULTADOS boliv'!D75+'CUENTA DE RESULTADOS boliv'!D76)</f>
        <v>0</v>
      </c>
      <c r="F16" s="40">
        <f>-('CUENTA DE RESULTADOS boliv'!E73+'CUENTA DE RESULTADOS boliv'!E74+'CUENTA DE RESULTADOS boliv'!E75+'CUENTA DE RESULTADOS boliv'!E76)</f>
        <v>0</v>
      </c>
      <c r="G16" s="40">
        <f>-('CUENTA DE RESULTADOS boliv'!F73+'CUENTA DE RESULTADOS boliv'!F74+'CUENTA DE RESULTADOS boliv'!F75+'CUENTA DE RESULTADOS boliv'!F76)</f>
        <v>0</v>
      </c>
      <c r="H16" s="40">
        <f>-('CUENTA DE RESULTADOS boliv'!G73+'CUENTA DE RESULTADOS boliv'!G74+'CUENTA DE RESULTADOS boliv'!G75+'CUENTA DE RESULTADOS boliv'!G76)</f>
        <v>0</v>
      </c>
      <c r="I16" s="40">
        <f>-('CUENTA DE RESULTADOS boliv'!H73+'CUENTA DE RESULTADOS boliv'!H74+'CUENTA DE RESULTADOS boliv'!H75+'CUENTA DE RESULTADOS boliv'!H76)</f>
        <v>0</v>
      </c>
      <c r="J16" s="40">
        <f>-('CUENTA DE RESULTADOS boliv'!I73+'CUENTA DE RESULTADOS boliv'!I74+'CUENTA DE RESULTADOS boliv'!I75+'CUENTA DE RESULTADOS boliv'!I76)</f>
        <v>0</v>
      </c>
      <c r="K16" s="40">
        <f>-('CUENTA DE RESULTADOS boliv'!J73+'CUENTA DE RESULTADOS boliv'!J74+'CUENTA DE RESULTADOS boliv'!J75+'CUENTA DE RESULTADOS boliv'!J76)</f>
        <v>0</v>
      </c>
      <c r="L16" s="40">
        <f>-('CUENTA DE RESULTADOS boliv'!K73+'CUENTA DE RESULTADOS boliv'!K74+'CUENTA DE RESULTADOS boliv'!K75+'CUENTA DE RESULTADOS boliv'!K76)</f>
        <v>0</v>
      </c>
      <c r="M16" s="40">
        <f>-('CUENTA DE RESULTADOS boliv'!L73+'CUENTA DE RESULTADOS boliv'!L74+'CUENTA DE RESULTADOS boliv'!L75+'CUENTA DE RESULTADOS boliv'!L76)</f>
        <v>0</v>
      </c>
      <c r="N16" s="40">
        <f>-('CUENTA DE RESULTADOS boliv'!M73+'CUENTA DE RESULTADOS boliv'!M74+'CUENTA DE RESULTADOS boliv'!M75+'CUENTA DE RESULTADOS boliv'!M76)</f>
        <v>0</v>
      </c>
    </row>
    <row r="17" spans="2:15" ht="14.45" x14ac:dyDescent="0.3">
      <c r="B17" s="30" t="s">
        <v>68</v>
      </c>
      <c r="C17" s="40">
        <f>-'CUENTA DE RESULTADOS boliv'!C72</f>
        <v>0</v>
      </c>
      <c r="D17" s="40">
        <f>-'CUENTA DE RESULTADOS boliv'!C72</f>
        <v>0</v>
      </c>
      <c r="E17" s="40">
        <f>-'CUENTA DE RESULTADOS boliv'!D72</f>
        <v>0</v>
      </c>
      <c r="F17" s="40">
        <f>-'CUENTA DE RESULTADOS boliv'!E72</f>
        <v>0</v>
      </c>
      <c r="G17" s="40">
        <f>-'CUENTA DE RESULTADOS boliv'!F72</f>
        <v>0</v>
      </c>
      <c r="H17" s="40">
        <f>-'CUENTA DE RESULTADOS boliv'!G72</f>
        <v>0</v>
      </c>
      <c r="I17" s="40">
        <f>-'CUENTA DE RESULTADOS boliv'!H72</f>
        <v>0</v>
      </c>
      <c r="J17" s="40">
        <f>-'CUENTA DE RESULTADOS boliv'!I72</f>
        <v>0</v>
      </c>
      <c r="K17" s="40">
        <f>-'CUENTA DE RESULTADOS boliv'!J72</f>
        <v>0</v>
      </c>
      <c r="L17" s="40">
        <f>-'CUENTA DE RESULTADOS boliv'!K72</f>
        <v>0</v>
      </c>
      <c r="M17" s="40">
        <f>-'CUENTA DE RESULTADOS boliv'!L72</f>
        <v>0</v>
      </c>
      <c r="N17" s="40">
        <f>-'CUENTA DE RESULTADOS boliv'!M72</f>
        <v>0</v>
      </c>
    </row>
    <row r="18" spans="2:15" ht="14.45" x14ac:dyDescent="0.3">
      <c r="B18" s="3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</row>
    <row r="19" spans="2:15" ht="14.45" x14ac:dyDescent="0.3">
      <c r="B19" s="27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</row>
    <row r="20" spans="2:15" ht="14.45" x14ac:dyDescent="0.3">
      <c r="B20" s="42" t="s">
        <v>28</v>
      </c>
      <c r="C20" s="43">
        <f>C14+C16+C17</f>
        <v>-35000000</v>
      </c>
      <c r="D20" s="43">
        <f t="shared" ref="D20" si="5">D14+D16+D17</f>
        <v>0</v>
      </c>
      <c r="E20" s="43">
        <f t="shared" ref="E20:N20" si="6">E14+E16+E17</f>
        <v>-1793250</v>
      </c>
      <c r="F20" s="43">
        <f t="shared" si="6"/>
        <v>-1013262</v>
      </c>
      <c r="G20" s="43">
        <f t="shared" si="6"/>
        <v>396651</v>
      </c>
      <c r="H20" s="43">
        <f t="shared" si="6"/>
        <v>2450765.75</v>
      </c>
      <c r="I20" s="43">
        <f t="shared" si="6"/>
        <v>4025368.4249999998</v>
      </c>
      <c r="J20" s="43">
        <f t="shared" si="6"/>
        <v>5218773.0934999995</v>
      </c>
      <c r="K20" s="43">
        <f t="shared" si="6"/>
        <v>6073284.1553699989</v>
      </c>
      <c r="L20" s="43">
        <f t="shared" si="6"/>
        <v>5469524.813858049</v>
      </c>
      <c r="M20" s="43">
        <f t="shared" si="6"/>
        <v>6142179.3151352108</v>
      </c>
      <c r="N20" s="43">
        <f t="shared" si="6"/>
        <v>6160179.3151352108</v>
      </c>
    </row>
    <row r="21" spans="2:15" ht="14.45" x14ac:dyDescent="0.3">
      <c r="B21" s="27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2:15" x14ac:dyDescent="0.25">
      <c r="B22" s="44" t="s">
        <v>112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>
        <v>62563107</v>
      </c>
      <c r="O22" t="s">
        <v>120</v>
      </c>
    </row>
    <row r="23" spans="2:15" ht="14.45" x14ac:dyDescent="0.3">
      <c r="B23" s="27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2:15" ht="14.45" x14ac:dyDescent="0.3">
      <c r="B24" s="27" t="s">
        <v>69</v>
      </c>
      <c r="C24" s="40">
        <f t="shared" ref="C24:M24" si="7">C20+C22</f>
        <v>-35000000</v>
      </c>
      <c r="D24" s="40">
        <f t="shared" ref="D24" si="8">D20+D22</f>
        <v>0</v>
      </c>
      <c r="E24" s="40">
        <f t="shared" si="7"/>
        <v>-1793250</v>
      </c>
      <c r="F24" s="40">
        <f t="shared" si="7"/>
        <v>-1013262</v>
      </c>
      <c r="G24" s="40">
        <f t="shared" si="7"/>
        <v>396651</v>
      </c>
      <c r="H24" s="40">
        <f t="shared" si="7"/>
        <v>2450765.75</v>
      </c>
      <c r="I24" s="40">
        <f t="shared" si="7"/>
        <v>4025368.4249999998</v>
      </c>
      <c r="J24" s="40">
        <f t="shared" si="7"/>
        <v>5218773.0934999995</v>
      </c>
      <c r="K24" s="40">
        <f t="shared" si="7"/>
        <v>6073284.1553699989</v>
      </c>
      <c r="L24" s="40">
        <f t="shared" si="7"/>
        <v>5469524.813858049</v>
      </c>
      <c r="M24" s="40">
        <f t="shared" si="7"/>
        <v>6142179.3151352108</v>
      </c>
      <c r="N24" s="40">
        <f>N20+N22</f>
        <v>68723286.315135211</v>
      </c>
    </row>
    <row r="25" spans="2:15" thickBot="1" x14ac:dyDescent="0.35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2:15" ht="14.45" x14ac:dyDescent="0.3">
      <c r="B26" s="48" t="s">
        <v>70</v>
      </c>
      <c r="C26" s="49">
        <f>IRR(C24:N24)</f>
        <v>0.10336796357825651</v>
      </c>
      <c r="D26" s="49"/>
      <c r="E26" s="49"/>
      <c r="F26" s="2"/>
      <c r="G26" s="2"/>
      <c r="H26" s="2"/>
      <c r="I26" s="2"/>
      <c r="J26" s="2"/>
      <c r="K26" s="2"/>
      <c r="L26" s="2"/>
      <c r="M26" s="2"/>
      <c r="N26" s="2"/>
    </row>
    <row r="27" spans="2:15" ht="14.45" x14ac:dyDescent="0.3"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2:15" ht="14.45" x14ac:dyDescent="0.3"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2:15" thickBot="1" x14ac:dyDescent="0.35"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2:15" ht="15.75" thickBot="1" x14ac:dyDescent="0.3">
      <c r="C30" s="101" t="s">
        <v>118</v>
      </c>
      <c r="D30" s="101" t="s">
        <v>82</v>
      </c>
      <c r="E30" s="101" t="s">
        <v>0</v>
      </c>
      <c r="F30" s="101" t="s">
        <v>1</v>
      </c>
      <c r="G30" s="101" t="s">
        <v>2</v>
      </c>
      <c r="H30" s="101" t="s">
        <v>3</v>
      </c>
      <c r="I30" s="101" t="s">
        <v>4</v>
      </c>
      <c r="J30" s="101" t="s">
        <v>5</v>
      </c>
      <c r="K30" s="101" t="s">
        <v>6</v>
      </c>
      <c r="L30" s="101" t="s">
        <v>7</v>
      </c>
      <c r="M30" s="101" t="s">
        <v>97</v>
      </c>
      <c r="N30" s="101" t="s">
        <v>98</v>
      </c>
    </row>
    <row r="31" spans="2:15" ht="14.45" x14ac:dyDescent="0.3">
      <c r="B31" s="24" t="s">
        <v>28</v>
      </c>
      <c r="C31" s="25">
        <f>C20</f>
        <v>-35000000</v>
      </c>
      <c r="D31" s="25">
        <f t="shared" ref="D31" si="9">D20</f>
        <v>0</v>
      </c>
      <c r="E31" s="25">
        <f t="shared" ref="E31:N31" si="10">E20</f>
        <v>-1793250</v>
      </c>
      <c r="F31" s="25">
        <f t="shared" si="10"/>
        <v>-1013262</v>
      </c>
      <c r="G31" s="25">
        <f t="shared" si="10"/>
        <v>396651</v>
      </c>
      <c r="H31" s="25">
        <f t="shared" si="10"/>
        <v>2450765.75</v>
      </c>
      <c r="I31" s="25">
        <f t="shared" si="10"/>
        <v>4025368.4249999998</v>
      </c>
      <c r="J31" s="25">
        <f t="shared" si="10"/>
        <v>5218773.0934999995</v>
      </c>
      <c r="K31" s="25">
        <f t="shared" si="10"/>
        <v>6073284.1553699989</v>
      </c>
      <c r="L31" s="25">
        <f t="shared" si="10"/>
        <v>5469524.813858049</v>
      </c>
      <c r="M31" s="25">
        <f t="shared" si="10"/>
        <v>6142179.3151352108</v>
      </c>
      <c r="N31" s="25">
        <f t="shared" si="10"/>
        <v>6160179.3151352108</v>
      </c>
    </row>
    <row r="32" spans="2:15" ht="14.45" x14ac:dyDescent="0.3">
      <c r="B32" s="27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2:14" ht="14.45" x14ac:dyDescent="0.3">
      <c r="B33" s="41" t="s">
        <v>71</v>
      </c>
      <c r="C33" s="40">
        <v>0</v>
      </c>
      <c r="D33" s="40">
        <f>'CUADRO DE NECESID FINAN boliv'!D11</f>
        <v>-1470000.0000000002</v>
      </c>
      <c r="E33" s="40">
        <f>'CUADRO DE NECESID FINAN boliv'!E11</f>
        <v>-1470000.0000000002</v>
      </c>
      <c r="F33" s="40">
        <f>'CUADRO DE NECESID FINAN boliv'!F11</f>
        <v>-1470000.0000000002</v>
      </c>
      <c r="G33" s="40">
        <f>'CUADRO DE NECESID FINAN boliv'!G11</f>
        <v>-1363605.0709907743</v>
      </c>
      <c r="H33" s="40">
        <f>'CUADRO DE NECESID FINAN boliv'!H11</f>
        <v>-1249762.4969509025</v>
      </c>
      <c r="I33" s="40">
        <f>'CUADRO DE NECESID FINAN boliv'!I11</f>
        <v>-1127950.9427282391</v>
      </c>
      <c r="J33" s="40">
        <f>'CUADRO DE NECESID FINAN boliv'!J11</f>
        <v>-997612.57970998983</v>
      </c>
      <c r="K33" s="40">
        <f>'CUADRO DE NECESID FINAN boliv'!K11</f>
        <v>-858150.53128046275</v>
      </c>
      <c r="L33" s="40">
        <f>'CUADRO DE NECESID FINAN boliv'!L11</f>
        <v>-535515.71648734587</v>
      </c>
      <c r="M33" s="40">
        <f>'CUADRO DE NECESID FINAN boliv'!M11</f>
        <v>-411942.03016042773</v>
      </c>
      <c r="N33" s="40">
        <f>'CUADRO DE NECESID FINAN boliv'!N11</f>
        <v>-283806.77551473811</v>
      </c>
    </row>
    <row r="34" spans="2:14" x14ac:dyDescent="0.25">
      <c r="B34" s="30" t="s">
        <v>90</v>
      </c>
      <c r="C34" s="40">
        <f>'CUADRO DE NECESID FINAN boliv'!D15</f>
        <v>0</v>
      </c>
      <c r="D34" s="40">
        <f>'CUADRO DE NECESID FINAN boliv'!D15</f>
        <v>0</v>
      </c>
      <c r="E34" s="40">
        <f>'CUADRO DE NECESID FINAN boliv'!E15</f>
        <v>0</v>
      </c>
      <c r="F34" s="40">
        <f>'CUADRO DE NECESID FINAN boliv'!F15</f>
        <v>-1519927.5572746592</v>
      </c>
      <c r="G34" s="40">
        <f>'CUADRO DE NECESID FINAN boliv'!G15</f>
        <v>-1626322.4862838851</v>
      </c>
      <c r="H34" s="40">
        <f>'CUADRO DE NECESID FINAN boliv'!H15</f>
        <v>-1740165.0603237576</v>
      </c>
      <c r="I34" s="40">
        <f>'CUADRO DE NECESID FINAN boliv'!I15</f>
        <v>-1861976.6145464205</v>
      </c>
      <c r="J34" s="40">
        <f>'CUADRO DE NECESID FINAN boliv'!J15</f>
        <v>-1992314.9775646697</v>
      </c>
      <c r="K34" s="40">
        <f>'CUADRO DE NECESID FINAN boliv'!K15</f>
        <v>-2131777.0259941965</v>
      </c>
      <c r="L34" s="40">
        <f>'CUADRO DE NECESID FINAN boliv'!L15</f>
        <v>-2281001.4178137905</v>
      </c>
      <c r="M34" s="40">
        <f>'CUADRO DE NECESID FINAN boliv'!M15</f>
        <v>-2440671.5170607558</v>
      </c>
      <c r="N34" s="40">
        <f>'CUADRO DE NECESID FINAN boliv'!N15</f>
        <v>-2611518.5232550087</v>
      </c>
    </row>
    <row r="35" spans="2:14" ht="14.45" x14ac:dyDescent="0.3">
      <c r="B35" s="30" t="s">
        <v>72</v>
      </c>
      <c r="C35" s="40">
        <v>21000000</v>
      </c>
      <c r="D35" s="40">
        <f>'CUADRO DE NECESID FINAN boliv'!D12</f>
        <v>0</v>
      </c>
      <c r="E35" s="40">
        <f>'CUADRO DE NECESID FINAN boliv'!E12</f>
        <v>0</v>
      </c>
      <c r="F35" s="40">
        <f>'CUADRO DE NECESID FINAN boliv'!F12</f>
        <v>0</v>
      </c>
      <c r="G35" s="40">
        <f>'CUADRO DE NECESID FINAN boliv'!G12</f>
        <v>0</v>
      </c>
      <c r="H35" s="40">
        <f>'CUADRO DE NECESID FINAN boliv'!H12</f>
        <v>0</v>
      </c>
      <c r="I35" s="40">
        <f>'CUADRO DE NECESID FINAN boliv'!I12</f>
        <v>0</v>
      </c>
      <c r="J35" s="40">
        <f>'CUADRO DE NECESID FINAN boliv'!J12</f>
        <v>0</v>
      </c>
      <c r="K35" s="40">
        <f>'CUADRO DE NECESID FINAN boliv'!K12</f>
        <v>0</v>
      </c>
      <c r="L35" s="40">
        <f>'CUADRO DE NECESID FINAN boliv'!L12</f>
        <v>0</v>
      </c>
      <c r="M35" s="40">
        <f>'CUADRO DE NECESID FINAN boliv'!M12</f>
        <v>0</v>
      </c>
      <c r="N35" s="40">
        <f>'CUADRO DE NECESID FINAN boliv'!N12</f>
        <v>0</v>
      </c>
    </row>
    <row r="36" spans="2:14" ht="14.45" x14ac:dyDescent="0.3">
      <c r="B36" s="3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</row>
    <row r="37" spans="2:14" ht="14.45" x14ac:dyDescent="0.3">
      <c r="B37" s="3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</row>
    <row r="38" spans="2:14" ht="14.45" x14ac:dyDescent="0.3">
      <c r="B38" s="3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</row>
    <row r="39" spans="2:14" x14ac:dyDescent="0.25">
      <c r="B39" s="41" t="s">
        <v>73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>
        <f>N22-N55</f>
        <v>59768782.180117145</v>
      </c>
    </row>
    <row r="40" spans="2:14" ht="14.45" x14ac:dyDescent="0.3">
      <c r="B40" s="27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2:14" thickBot="1" x14ac:dyDescent="0.35">
      <c r="B41" s="46" t="s">
        <v>29</v>
      </c>
      <c r="C41" s="47">
        <f>C31+C33+C34+C35+C39</f>
        <v>-14000000</v>
      </c>
      <c r="D41" s="47">
        <f t="shared" ref="D41" si="11">D31+D33+D34+D35+D39</f>
        <v>-1470000.0000000002</v>
      </c>
      <c r="E41" s="47">
        <f t="shared" ref="E41:N41" si="12">E31+E33+E34+E35+E39</f>
        <v>-3263250</v>
      </c>
      <c r="F41" s="47">
        <f t="shared" si="12"/>
        <v>-4003189.5572746592</v>
      </c>
      <c r="G41" s="47">
        <f t="shared" si="12"/>
        <v>-2593276.5572746592</v>
      </c>
      <c r="H41" s="47">
        <f t="shared" si="12"/>
        <v>-539161.8072746601</v>
      </c>
      <c r="I41" s="47">
        <f t="shared" si="12"/>
        <v>1035440.8677253402</v>
      </c>
      <c r="J41" s="47">
        <f t="shared" si="12"/>
        <v>2228845.5362253399</v>
      </c>
      <c r="K41" s="47">
        <f t="shared" si="12"/>
        <v>3083356.5980953397</v>
      </c>
      <c r="L41" s="47">
        <f t="shared" si="12"/>
        <v>2653007.6795569123</v>
      </c>
      <c r="M41" s="47">
        <f t="shared" si="12"/>
        <v>3289565.767914027</v>
      </c>
      <c r="N41" s="47">
        <f t="shared" si="12"/>
        <v>63033636.196482606</v>
      </c>
    </row>
    <row r="42" spans="2:14" ht="14.45" x14ac:dyDescent="0.3">
      <c r="B42" s="50" t="s">
        <v>74</v>
      </c>
      <c r="C42" s="51">
        <f>IRR(C41:N41)</f>
        <v>0.12103117683752318</v>
      </c>
      <c r="D42" s="51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ht="14.45" x14ac:dyDescent="0.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ht="14.45" x14ac:dyDescent="0.3"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ht="14.45" x14ac:dyDescent="0.3"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ht="15.75" thickBot="1" x14ac:dyDescent="0.3"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ht="15.75" thickBot="1" x14ac:dyDescent="0.3">
      <c r="C47" s="101" t="s">
        <v>118</v>
      </c>
      <c r="D47" s="101" t="s">
        <v>82</v>
      </c>
      <c r="E47" s="101" t="s">
        <v>0</v>
      </c>
      <c r="F47" s="101" t="s">
        <v>1</v>
      </c>
      <c r="G47" s="101" t="s">
        <v>2</v>
      </c>
      <c r="H47" s="101" t="s">
        <v>3</v>
      </c>
      <c r="I47" s="101" t="s">
        <v>4</v>
      </c>
      <c r="J47" s="101" t="s">
        <v>5</v>
      </c>
      <c r="K47" s="101" t="s">
        <v>6</v>
      </c>
      <c r="L47" s="101" t="s">
        <v>7</v>
      </c>
      <c r="M47" s="101" t="s">
        <v>97</v>
      </c>
      <c r="N47" s="101" t="s">
        <v>98</v>
      </c>
    </row>
    <row r="48" spans="2:14" x14ac:dyDescent="0.25">
      <c r="B48" s="24" t="s">
        <v>75</v>
      </c>
      <c r="C48" s="25">
        <v>0</v>
      </c>
      <c r="D48" s="25">
        <f>-D33</f>
        <v>1470000.0000000002</v>
      </c>
      <c r="E48" s="25">
        <f>-E33</f>
        <v>1470000.0000000002</v>
      </c>
      <c r="F48" s="25">
        <f t="shared" ref="F48:K48" si="13">-F33</f>
        <v>1470000.0000000002</v>
      </c>
      <c r="G48" s="25">
        <f t="shared" si="13"/>
        <v>1363605.0709907743</v>
      </c>
      <c r="H48" s="25">
        <f t="shared" si="13"/>
        <v>1249762.4969509025</v>
      </c>
      <c r="I48" s="25">
        <f t="shared" si="13"/>
        <v>1127950.9427282391</v>
      </c>
      <c r="J48" s="25">
        <f t="shared" si="13"/>
        <v>997612.57970998983</v>
      </c>
      <c r="K48" s="25">
        <f t="shared" si="13"/>
        <v>858150.53128046275</v>
      </c>
      <c r="L48" s="25">
        <f>'PTMO FRANCES'!E22</f>
        <v>708926.13946086902</v>
      </c>
      <c r="M48" s="25">
        <f>'PTMO FRANCES'!E23</f>
        <v>549256.04021390365</v>
      </c>
      <c r="N48" s="25">
        <f>'PTMO FRANCES'!E24</f>
        <v>378409.03401965083</v>
      </c>
    </row>
    <row r="49" spans="2:14" x14ac:dyDescent="0.25">
      <c r="B49" s="27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</row>
    <row r="50" spans="2:14" x14ac:dyDescent="0.25">
      <c r="B50" s="41" t="s">
        <v>76</v>
      </c>
      <c r="C50" s="40">
        <f>-C35</f>
        <v>-21000000</v>
      </c>
      <c r="D50" s="40">
        <f t="shared" ref="D50" si="14">-D35</f>
        <v>0</v>
      </c>
      <c r="E50" s="40">
        <f t="shared" ref="E50:N50" si="15">-E35</f>
        <v>0</v>
      </c>
      <c r="F50" s="40">
        <f t="shared" si="15"/>
        <v>0</v>
      </c>
      <c r="G50" s="40">
        <f t="shared" si="15"/>
        <v>0</v>
      </c>
      <c r="H50" s="40">
        <f t="shared" si="15"/>
        <v>0</v>
      </c>
      <c r="I50" s="40">
        <f t="shared" si="15"/>
        <v>0</v>
      </c>
      <c r="J50" s="40">
        <f t="shared" si="15"/>
        <v>0</v>
      </c>
      <c r="K50" s="40">
        <f t="shared" si="15"/>
        <v>0</v>
      </c>
      <c r="L50" s="40">
        <f t="shared" si="15"/>
        <v>0</v>
      </c>
      <c r="M50" s="40">
        <f t="shared" si="15"/>
        <v>0</v>
      </c>
      <c r="N50" s="40">
        <f t="shared" si="15"/>
        <v>0</v>
      </c>
    </row>
    <row r="51" spans="2:14" x14ac:dyDescent="0.25">
      <c r="B51" s="30" t="s">
        <v>91</v>
      </c>
      <c r="C51" s="40">
        <f>-C34</f>
        <v>0</v>
      </c>
      <c r="D51" s="40">
        <f t="shared" ref="D51:E51" si="16">-D34</f>
        <v>0</v>
      </c>
      <c r="E51" s="40">
        <f t="shared" si="16"/>
        <v>0</v>
      </c>
      <c r="F51" s="40">
        <f>-F34</f>
        <v>1519927.5572746592</v>
      </c>
      <c r="G51" s="40">
        <f t="shared" ref="G51:N51" si="17">-G34</f>
        <v>1626322.4862838851</v>
      </c>
      <c r="H51" s="40">
        <f t="shared" si="17"/>
        <v>1740165.0603237576</v>
      </c>
      <c r="I51" s="40">
        <f t="shared" si="17"/>
        <v>1861976.6145464205</v>
      </c>
      <c r="J51" s="40">
        <f t="shared" si="17"/>
        <v>1992314.9775646697</v>
      </c>
      <c r="K51" s="40">
        <f t="shared" si="17"/>
        <v>2131777.0259941965</v>
      </c>
      <c r="L51" s="40">
        <f t="shared" si="17"/>
        <v>2281001.4178137905</v>
      </c>
      <c r="M51" s="40">
        <f t="shared" si="17"/>
        <v>2440671.5170607558</v>
      </c>
      <c r="N51" s="40">
        <f t="shared" si="17"/>
        <v>2611518.5232550087</v>
      </c>
    </row>
    <row r="52" spans="2:14" x14ac:dyDescent="0.25">
      <c r="B52" s="3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</row>
    <row r="53" spans="2:14" x14ac:dyDescent="0.25">
      <c r="B53" s="3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2:14" x14ac:dyDescent="0.25">
      <c r="B54" s="3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</row>
    <row r="55" spans="2:14" x14ac:dyDescent="0.25">
      <c r="B55" s="41" t="s">
        <v>77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>
        <f>'PTMO FRANCES'!G24</f>
        <v>2794324.8198828581</v>
      </c>
    </row>
    <row r="56" spans="2:14" x14ac:dyDescent="0.25">
      <c r="B56" s="27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</row>
    <row r="57" spans="2:14" ht="15.75" thickBot="1" x14ac:dyDescent="0.3">
      <c r="B57" s="46" t="s">
        <v>78</v>
      </c>
      <c r="C57" s="47">
        <f>C48+C50+C51+C55</f>
        <v>-21000000</v>
      </c>
      <c r="D57" s="47">
        <f t="shared" ref="D57" si="18">D48+D50+D51+D55</f>
        <v>1470000.0000000002</v>
      </c>
      <c r="E57" s="47">
        <f t="shared" ref="E57:N57" si="19">E48+E50+E51+E55</f>
        <v>1470000.0000000002</v>
      </c>
      <c r="F57" s="47">
        <f t="shared" si="19"/>
        <v>2989927.5572746592</v>
      </c>
      <c r="G57" s="47">
        <f t="shared" si="19"/>
        <v>2989927.5572746592</v>
      </c>
      <c r="H57" s="47">
        <f t="shared" si="19"/>
        <v>2989927.5572746601</v>
      </c>
      <c r="I57" s="47">
        <f t="shared" si="19"/>
        <v>2989927.5572746596</v>
      </c>
      <c r="J57" s="47">
        <f t="shared" si="19"/>
        <v>2989927.5572746596</v>
      </c>
      <c r="K57" s="47">
        <f t="shared" si="19"/>
        <v>2989927.5572746592</v>
      </c>
      <c r="L57" s="47">
        <f t="shared" si="19"/>
        <v>2989927.5572746596</v>
      </c>
      <c r="M57" s="47">
        <f t="shared" si="19"/>
        <v>2989927.5572746592</v>
      </c>
      <c r="N57" s="47">
        <f t="shared" si="19"/>
        <v>5784252.3771575177</v>
      </c>
    </row>
    <row r="58" spans="2:14" x14ac:dyDescent="0.25">
      <c r="B58" s="52" t="s">
        <v>79</v>
      </c>
      <c r="C58" s="51">
        <f>IRR(C57:N57,)</f>
        <v>7.0000000000000062E-2</v>
      </c>
      <c r="D58" s="51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2:14" x14ac:dyDescent="0.25"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2:14" ht="15.75" thickBot="1" x14ac:dyDescent="0.3"/>
    <row r="61" spans="2:14" ht="15.75" thickBot="1" x14ac:dyDescent="0.3">
      <c r="B61" s="113" t="s">
        <v>80</v>
      </c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5"/>
    </row>
    <row r="62" spans="2:14" ht="15.75" thickBot="1" x14ac:dyDescent="0.3">
      <c r="B62" s="53" t="s">
        <v>81</v>
      </c>
      <c r="C62" s="101" t="s">
        <v>118</v>
      </c>
      <c r="D62" s="101" t="s">
        <v>82</v>
      </c>
      <c r="E62" s="101" t="s">
        <v>0</v>
      </c>
      <c r="F62" s="101" t="s">
        <v>1</v>
      </c>
      <c r="G62" s="101" t="s">
        <v>2</v>
      </c>
      <c r="H62" s="101" t="s">
        <v>3</v>
      </c>
      <c r="I62" s="101" t="s">
        <v>4</v>
      </c>
      <c r="J62" s="101" t="s">
        <v>5</v>
      </c>
      <c r="K62" s="101" t="s">
        <v>6</v>
      </c>
      <c r="L62" s="101" t="s">
        <v>7</v>
      </c>
      <c r="M62" s="101" t="s">
        <v>97</v>
      </c>
      <c r="N62" s="101" t="s">
        <v>98</v>
      </c>
    </row>
    <row r="63" spans="2:14" x14ac:dyDescent="0.25">
      <c r="B63" s="54" t="s">
        <v>83</v>
      </c>
      <c r="C63" s="40">
        <f t="shared" ref="C63:K63" si="20">C24</f>
        <v>-35000000</v>
      </c>
      <c r="D63" s="40">
        <f t="shared" ref="D63" si="21">D24</f>
        <v>0</v>
      </c>
      <c r="E63" s="40">
        <f t="shared" si="20"/>
        <v>-1793250</v>
      </c>
      <c r="F63" s="40">
        <f t="shared" si="20"/>
        <v>-1013262</v>
      </c>
      <c r="G63" s="40">
        <f t="shared" si="20"/>
        <v>396651</v>
      </c>
      <c r="H63" s="40">
        <f t="shared" si="20"/>
        <v>2450765.75</v>
      </c>
      <c r="I63" s="40">
        <f t="shared" si="20"/>
        <v>4025368.4249999998</v>
      </c>
      <c r="J63" s="40">
        <f>J24</f>
        <v>5218773.0934999995</v>
      </c>
      <c r="K63" s="40">
        <f t="shared" si="20"/>
        <v>6073284.1553699989</v>
      </c>
      <c r="L63" s="40">
        <f t="shared" ref="L63:N63" si="22">L24</f>
        <v>5469524.813858049</v>
      </c>
      <c r="M63" s="40">
        <f t="shared" si="22"/>
        <v>6142179.3151352108</v>
      </c>
      <c r="N63" s="55">
        <f t="shared" si="22"/>
        <v>68723286.315135211</v>
      </c>
    </row>
    <row r="64" spans="2:14" x14ac:dyDescent="0.25">
      <c r="B64" s="56" t="s">
        <v>92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f>0.24461*L48</f>
        <v>173410.42297352318</v>
      </c>
      <c r="M64" s="40">
        <f t="shared" ref="M64" si="23">0.25*M48</f>
        <v>137314.01005347591</v>
      </c>
      <c r="N64" s="55">
        <f>0.25*N48</f>
        <v>94602.258504912708</v>
      </c>
    </row>
    <row r="65" spans="2:14" x14ac:dyDescent="0.25">
      <c r="B65" s="57" t="s">
        <v>84</v>
      </c>
      <c r="C65" s="40">
        <f t="shared" ref="C65:N65" si="24">-C41</f>
        <v>14000000</v>
      </c>
      <c r="D65" s="40">
        <f t="shared" ref="D65" si="25">-D41</f>
        <v>1470000.0000000002</v>
      </c>
      <c r="E65" s="40">
        <f t="shared" si="24"/>
        <v>3263250</v>
      </c>
      <c r="F65" s="40">
        <f t="shared" si="24"/>
        <v>4003189.5572746592</v>
      </c>
      <c r="G65" s="40">
        <f t="shared" si="24"/>
        <v>2593276.5572746592</v>
      </c>
      <c r="H65" s="40">
        <f t="shared" si="24"/>
        <v>539161.8072746601</v>
      </c>
      <c r="I65" s="40">
        <f t="shared" si="24"/>
        <v>-1035440.8677253402</v>
      </c>
      <c r="J65" s="40">
        <f t="shared" si="24"/>
        <v>-2228845.5362253399</v>
      </c>
      <c r="K65" s="40">
        <f t="shared" si="24"/>
        <v>-3083356.5980953397</v>
      </c>
      <c r="L65" s="40">
        <f t="shared" si="24"/>
        <v>-2653007.6795569123</v>
      </c>
      <c r="M65" s="40">
        <f t="shared" si="24"/>
        <v>-3289565.767914027</v>
      </c>
      <c r="N65" s="55">
        <f t="shared" si="24"/>
        <v>-63033636.196482606</v>
      </c>
    </row>
    <row r="66" spans="2:14" ht="15.75" thickBot="1" x14ac:dyDescent="0.3">
      <c r="B66" s="58" t="s">
        <v>85</v>
      </c>
      <c r="C66" s="40">
        <f t="shared" ref="C66:N66" si="26">-C57</f>
        <v>21000000</v>
      </c>
      <c r="D66" s="40">
        <f t="shared" ref="D66" si="27">-D57</f>
        <v>-1470000.0000000002</v>
      </c>
      <c r="E66" s="40">
        <f t="shared" si="26"/>
        <v>-1470000.0000000002</v>
      </c>
      <c r="F66" s="40">
        <f t="shared" si="26"/>
        <v>-2989927.5572746592</v>
      </c>
      <c r="G66" s="40">
        <f t="shared" si="26"/>
        <v>-2989927.5572746592</v>
      </c>
      <c r="H66" s="40">
        <f t="shared" si="26"/>
        <v>-2989927.5572746601</v>
      </c>
      <c r="I66" s="40">
        <f t="shared" si="26"/>
        <v>-2989927.5572746596</v>
      </c>
      <c r="J66" s="40">
        <f t="shared" si="26"/>
        <v>-2989927.5572746596</v>
      </c>
      <c r="K66" s="40">
        <f t="shared" si="26"/>
        <v>-2989927.5572746592</v>
      </c>
      <c r="L66" s="40">
        <f t="shared" si="26"/>
        <v>-2989927.5572746596</v>
      </c>
      <c r="M66" s="40">
        <f t="shared" si="26"/>
        <v>-2989927.5572746592</v>
      </c>
      <c r="N66" s="55">
        <f t="shared" si="26"/>
        <v>-5784252.3771575177</v>
      </c>
    </row>
    <row r="67" spans="2:14" ht="15.75" thickBot="1" x14ac:dyDescent="0.3">
      <c r="B67" s="59" t="s">
        <v>86</v>
      </c>
      <c r="C67" s="60">
        <f t="shared" ref="C67:N67" si="28">SUM(C63:C66)</f>
        <v>0</v>
      </c>
      <c r="D67" s="60">
        <f t="shared" ref="D67" si="29">SUM(D63:D66)</f>
        <v>0</v>
      </c>
      <c r="E67" s="60">
        <f t="shared" si="28"/>
        <v>0</v>
      </c>
      <c r="F67" s="60">
        <f t="shared" si="28"/>
        <v>0</v>
      </c>
      <c r="G67" s="60">
        <f t="shared" si="28"/>
        <v>0</v>
      </c>
      <c r="H67" s="60">
        <f t="shared" si="28"/>
        <v>0</v>
      </c>
      <c r="I67" s="60">
        <f t="shared" si="28"/>
        <v>0</v>
      </c>
      <c r="J67" s="60">
        <f t="shared" si="28"/>
        <v>0</v>
      </c>
      <c r="K67" s="60">
        <f t="shared" si="28"/>
        <v>0</v>
      </c>
      <c r="L67" s="60">
        <f t="shared" si="28"/>
        <v>0</v>
      </c>
      <c r="M67" s="60">
        <f t="shared" si="28"/>
        <v>0</v>
      </c>
      <c r="N67" s="61">
        <f t="shared" si="28"/>
        <v>0</v>
      </c>
    </row>
    <row r="69" spans="2:14" x14ac:dyDescent="0.25">
      <c r="B69" s="62" t="s">
        <v>93</v>
      </c>
    </row>
  </sheetData>
  <mergeCells count="2">
    <mergeCell ref="B61:N61"/>
    <mergeCell ref="B3:N3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9"/>
  <sheetViews>
    <sheetView workbookViewId="0">
      <selection activeCell="A4" sqref="A4"/>
    </sheetView>
  </sheetViews>
  <sheetFormatPr baseColWidth="10" defaultRowHeight="15" x14ac:dyDescent="0.25"/>
  <sheetData>
    <row r="4" spans="1:1" x14ac:dyDescent="0.25">
      <c r="A4" s="103" t="s">
        <v>117</v>
      </c>
    </row>
    <row r="5" spans="1:1" x14ac:dyDescent="0.25">
      <c r="A5" s="103" t="s">
        <v>121</v>
      </c>
    </row>
    <row r="6" spans="1:1" x14ac:dyDescent="0.3">
      <c r="A6" s="103" t="s">
        <v>124</v>
      </c>
    </row>
    <row r="7" spans="1:1" x14ac:dyDescent="0.25">
      <c r="A7" s="103" t="s">
        <v>122</v>
      </c>
    </row>
    <row r="8" spans="1:1" x14ac:dyDescent="0.3">
      <c r="A8" s="103" t="s">
        <v>115</v>
      </c>
    </row>
    <row r="9" spans="1:1" x14ac:dyDescent="0.25">
      <c r="A9" s="103" t="s">
        <v>123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PTMO FRANCES</vt:lpstr>
      <vt:lpstr>CUENTA DE RESULTADOS boliv</vt:lpstr>
      <vt:lpstr>CUADRO DE NECESID FINAN boliv</vt:lpstr>
      <vt:lpstr>RENTABILIDAD boliv</vt:lpstr>
      <vt:lpstr>conclusiones</vt:lpstr>
      <vt:lpstr>conclusiones!Área_de_impresión</vt:lpstr>
      <vt:lpstr>'CUADRO DE NECESID FINAN boliv'!Área_de_impresión</vt:lpstr>
      <vt:lpstr>'CUENTA DE RESULTADOS boliv'!Área_de_impresión</vt:lpstr>
      <vt:lpstr>'PTMO FRANCES'!Área_de_impresión</vt:lpstr>
      <vt:lpstr>'RENTABILIDAD boliv'!Área_de_impresión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Perez</dc:creator>
  <cp:lastModifiedBy>Eva Perez</cp:lastModifiedBy>
  <cp:lastPrinted>2017-01-17T09:04:15Z</cp:lastPrinted>
  <dcterms:created xsi:type="dcterms:W3CDTF">2016-07-12T03:58:32Z</dcterms:created>
  <dcterms:modified xsi:type="dcterms:W3CDTF">2017-02-10T15:50:25Z</dcterms:modified>
</cp:coreProperties>
</file>